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56" activeTab="0"/>
  </bookViews>
  <sheets>
    <sheet name="Sheet2" sheetId="1" r:id="rId1"/>
  </sheets>
  <definedNames>
    <definedName name="Excel_BuiltIn_Print_Area1">'Sheet2'!$A$1:$G$463</definedName>
    <definedName name="Excel_BuiltIn_Print_Area_1">'Sheet2'!$A$1:$C$450</definedName>
    <definedName name="Excel_BuiltIn_Print_Area_1_1">'Sheet2'!$A$1:$C$464</definedName>
    <definedName name="Excel_BuiltIn_Print_Area_1_1_1">'Sheet2'!$A$1:$F$466</definedName>
    <definedName name="Excel_BuiltIn_Print_Area_1_1_1_1">'Sheet2'!$A$1:$C$466</definedName>
    <definedName name="Excel_BuiltIn_Print_Area_1_1_1_1_1">'Sheet2'!$A$1:$F$417</definedName>
    <definedName name="Excel_BuiltIn_Print_Area_1_1_1_1_1_1">'Sheet2'!$A$1:$C$462</definedName>
    <definedName name="Excel_BuiltIn_Print_Area_1_1_1_1_1_1_1">'Sheet2'!$A$2:$C$462</definedName>
    <definedName name="Excel_BuiltIn_Print_Area_1_1_1_1_1_1_11">'Sheet2'!$A$2:$C$462</definedName>
    <definedName name="Excel_BuiltIn_Print_Area_1_1_1_1_1_1_1_1">#REF!</definedName>
    <definedName name="Excel_BuiltIn_Print_Area_1_1_1_1_1_1_1_11">#REF!</definedName>
    <definedName name="Excel_BuiltIn_Print_Area_2_1">'Sheet2'!$A$2:$C$450</definedName>
    <definedName name="Excel_BuiltIn_Print_Area_2_1_1">'Sheet2'!$A$2:$C$450</definedName>
    <definedName name="Excel_BuiltIn_Print_Titles">'Sheet2'!#REF!</definedName>
    <definedName name="_xlnm.Print_Area" localSheetId="0">'Sheet2'!$A$1:$C$473</definedName>
  </definedNames>
  <calcPr fullCalcOnLoad="1"/>
</workbook>
</file>

<file path=xl/comments1.xml><?xml version="1.0" encoding="utf-8"?>
<comments xmlns="http://schemas.openxmlformats.org/spreadsheetml/2006/main">
  <authors>
    <author/>
  </authors>
  <commentList>
    <comment ref="D148" authorId="0">
      <text>
        <r>
          <rPr>
            <b/>
            <sz val="9"/>
            <color indexed="8"/>
            <rFont val="Tahoma"/>
            <family val="2"/>
          </rPr>
          <t xml:space="preserve">utilizator seppd1:
</t>
        </r>
        <r>
          <rPr>
            <sz val="9"/>
            <color indexed="8"/>
            <rFont val="Tahoma"/>
            <family val="2"/>
          </rPr>
          <t xml:space="preserve">-3926 de la Amb
</t>
        </r>
      </text>
    </comment>
    <comment ref="D246" authorId="0">
      <text>
        <r>
          <rPr>
            <b/>
            <sz val="9"/>
            <color indexed="8"/>
            <rFont val="Tahoma"/>
            <family val="2"/>
          </rPr>
          <t xml:space="preserve">utilizator seppd1:
</t>
        </r>
        <r>
          <rPr>
            <sz val="9"/>
            <color indexed="8"/>
            <rFont val="Tahoma"/>
            <family val="2"/>
          </rPr>
          <t xml:space="preserve">-180 lei de la Amb
</t>
        </r>
      </text>
    </comment>
  </commentList>
</comments>
</file>

<file path=xl/sharedStrings.xml><?xml version="1.0" encoding="utf-8"?>
<sst xmlns="http://schemas.openxmlformats.org/spreadsheetml/2006/main" count="471" uniqueCount="131">
  <si>
    <t>MUNICIPIUL CRAIOVA</t>
  </si>
  <si>
    <t>PRIMARIA MUNICIPIULUI CRAIOVA</t>
  </si>
  <si>
    <t>DIRECTIA ELABORARE SI IMPLEMENTARE PROIECTE</t>
  </si>
  <si>
    <t>Capitol Bugetar</t>
  </si>
  <si>
    <t>Denumire</t>
  </si>
  <si>
    <t>Total (mii lei)</t>
  </si>
  <si>
    <t>TRIM I</t>
  </si>
  <si>
    <t>TRIM II</t>
  </si>
  <si>
    <t>TRIM III</t>
  </si>
  <si>
    <t xml:space="preserve">TRIM IV </t>
  </si>
  <si>
    <t>Cap. 65.02 (Invatamant)</t>
  </si>
  <si>
    <t>65.02.03.01</t>
  </si>
  <si>
    <t>Construire cresa, str.Potelu, Cartier Romanescu,T27,P1 Municipiul Craiova (PNRR)</t>
  </si>
  <si>
    <t>60.01</t>
  </si>
  <si>
    <t>Fonduri europene nerambursabile</t>
  </si>
  <si>
    <t>60.02</t>
  </si>
  <si>
    <t>Finanțare publică națională</t>
  </si>
  <si>
    <t>60.03</t>
  </si>
  <si>
    <t>Sume aferente TVA</t>
  </si>
  <si>
    <t>42.02.88.01</t>
  </si>
  <si>
    <t>42.02.88.02</t>
  </si>
  <si>
    <t>Finantare publica naționala</t>
  </si>
  <si>
    <t>42.02.88.03</t>
  </si>
  <si>
    <t>Construire cresa, str.Artileriei, nr.13,fosta Artileriei, zona Blocurilor ANL, Cartierul Veteranilor, Municipiul Craiova (PNRR)</t>
  </si>
  <si>
    <t xml:space="preserve">Cresterea eficientei energetice a cladirilor publice din Municipiul Craiova apartinând sectorului Educație - Gradinița cu program prelungit ”Elena Farago” inclusiv Creșa nr. 8 </t>
  </si>
  <si>
    <t>58.01.01</t>
  </si>
  <si>
    <t>58.01.02</t>
  </si>
  <si>
    <t>58.01.03</t>
  </si>
  <si>
    <t>42.02.69</t>
  </si>
  <si>
    <t>48.02.01.01</t>
  </si>
  <si>
    <t>48.02.01.02</t>
  </si>
  <si>
    <t>Venituri proprii</t>
  </si>
  <si>
    <t>Cresterea eficientei energetice a cladirilor publice din Municipiul Craiova apartinând sectorului Educație - Gradinița cu program prelungit ”Floare Albastră” inclusiv Creșa nr. 3</t>
  </si>
  <si>
    <t xml:space="preserve">Cresterea eficientei energetice a cladirilor publice din Municipiul Craiova apartinând sectorului Educație - Gradinița cu program prelungit ”Piticot” inclusiv Creșa nr. 5  </t>
  </si>
  <si>
    <t>Creşterea accesului la educatie prin imbunatatirea infrastructurii unitatilor de inva- tamant din municipiul Craiova – Gradinita cu program prelungit Curcubeul Copilăriei</t>
  </si>
  <si>
    <t xml:space="preserve">Creşterea accesului la educatie prin imbunatatirea infrastructurii unitatilor de in-vatamant din municipiul Craiova – Gradinita cu program prelungit Căsuța cu povești </t>
  </si>
  <si>
    <t xml:space="preserve">Creşterea accesului la educatie prin imbunatatirea infrastructurii unitatilor de invatamant din municipiul Craiova – Gradinita cu program prelungit Ion Creangă  </t>
  </si>
  <si>
    <t xml:space="preserve">Creşterea accesului la educatie prin imbunatatirea infrastructurii unitatilor de invatamant din municipiul Craiova – Gradinita cu program prelungit Phoenix </t>
  </si>
  <si>
    <t>65.02.04.01</t>
  </si>
  <si>
    <t xml:space="preserve">Îmbunătățirea infrastructurii educaționale din Municipiul Craiova prin constructia/ reabilitarea/modernizarea/extinderea/echiparea Scolii Gimnaziale “Mircea Eliade” </t>
  </si>
  <si>
    <t>48.02.01.03</t>
  </si>
  <si>
    <t xml:space="preserve">Îmbunătățirea infrastructurii educaționale din Municipiul Craiova prin constructia/ reabilitarea/modernizarea/extinderea/echiparea Scolii Gimnaziale “Gheorghe Titeica” </t>
  </si>
  <si>
    <t xml:space="preserve"> </t>
  </si>
  <si>
    <t>65.02.50</t>
  </si>
  <si>
    <t>Școala virtuală în municipiul Craiova</t>
  </si>
  <si>
    <t>Masuri pentru limitArea raSpandirii coronavirusului in uniTatile de Invatamant PrEuNiversiTaR din mUnicipiul Craiova – M.A.S.T.I. Pentru Craiova</t>
  </si>
  <si>
    <t>65.02.04.02</t>
  </si>
  <si>
    <t>Creșterea calității infrastructurii educaționale la Colegiul Tehnic de Industrie Alimentară Craiova</t>
  </si>
  <si>
    <t>,,Renovare energetica moderata a cladirilor publice din Municipiul Craiova – Colegiul National Carol I- corp de cladire C13” (PNRR)</t>
  </si>
  <si>
    <t>61.01.01</t>
  </si>
  <si>
    <t>61.01.02</t>
  </si>
  <si>
    <t>61.01.03</t>
  </si>
  <si>
    <t>42.02.89.01</t>
  </si>
  <si>
    <t>42.02.89.02</t>
  </si>
  <si>
    <t>42.02.89.03</t>
  </si>
  <si>
    <t>42.02.91.01</t>
  </si>
  <si>
    <t>42.02.91.02</t>
  </si>
  <si>
    <t>42.02.91.03</t>
  </si>
  <si>
    <t>Renovare energetica moderata a cladirilor publice din Municipiul Craiova – Scoala Mircea Eliade, corp de cladire C1 (PNRR)</t>
  </si>
  <si>
    <t>Total cap. 65.02</t>
  </si>
  <si>
    <t>Cap. 66.02.  (Sănătate)</t>
  </si>
  <si>
    <t>66.02.06.01</t>
  </si>
  <si>
    <t>Cresterea eficientei energetice a cladirilor publice din Municipiul Craiova apartinand sectorului Sanatate, Spitalul Clinic de Boli Infectioase si Pneumoftiziologie Victor Babes Craiova</t>
  </si>
  <si>
    <t>Reabilitare corp C1 – Ambulatoriu Pavilion A, extindere cu lift exterior si amplasare rampa de gunoi (colectare selectiva) la Spitalul Clinic Municipal Filantropia din Municipiul Craiova</t>
  </si>
  <si>
    <t xml:space="preserve"> Cresterea sigurantei pacientilor in cadrul Spitalului Clinic de Neuropsihiatrie Craiova – Reabilitarea si extinderea instalatiei electrice, de fluide medicale, sisteme de detectare, semnalizare si alarmare incendii si sisteme de detectare, semnalizare si alarmare in cazul depasirii concentratiei maxime admise de oxigen</t>
  </si>
  <si>
    <t>Creșterea siguranței pacienților în cadrul Spitalului Clinic Municipal Filantropia Craiova – Reabilitarea si extinderea instalatiei electrice, ventilare si tratare a aerului, fluide medicale; detectare, semnalizare si alarmare incendii in cazul depasirii concentratiei maxime de oxigen</t>
  </si>
  <si>
    <t>Total cap. 66.02</t>
  </si>
  <si>
    <t>Cap. 67.02.  (Cultura, recreere si religie)</t>
  </si>
  <si>
    <t>67.02.03.12</t>
  </si>
  <si>
    <t xml:space="preserve">Conservarea, protejarea, promovarea si dezvoltarea patrimoniului national si cultural - Casa Rusănescu (Casa Casatoriilor) </t>
  </si>
  <si>
    <t>Amenajarea de parcuri si gradini in municipiul Craiova - Parcul Nicolae Romanescu</t>
  </si>
  <si>
    <t>42.02.62</t>
  </si>
  <si>
    <t>Total cap. 67.02</t>
  </si>
  <si>
    <t>Cap. 70.02.  (Loc., serv. si dezv. Publica)</t>
  </si>
  <si>
    <t>70.02.50</t>
  </si>
  <si>
    <t>Promovarea incluziunii sociale și combaterea sărăciei în comunitățile defavorizate din municipiul Craiova – faza II – Zona Fantâna Popova</t>
  </si>
  <si>
    <t>Document de Planificare Urbana in format diGital pentru Municipiul Craiova - PUG Craiova (PNRR)</t>
  </si>
  <si>
    <t>61.01</t>
  </si>
  <si>
    <t>61.02</t>
  </si>
  <si>
    <t>61.03</t>
  </si>
  <si>
    <t>70.02.03.30</t>
  </si>
  <si>
    <t>Renovare enerGetica a cladirilor REzidENtiale din Municipiul Craiova- GREEN-1 (PNRR)</t>
  </si>
  <si>
    <t>Renovare enerGetica a cladirilor REzidENtiale din Municipiul Craiova- GREEN-2 (PNRR)</t>
  </si>
  <si>
    <t>Renovare enerGetica a cladirilor REzidENtiale din Municipiul Craiova - GREEN-3  (PNRR)</t>
  </si>
  <si>
    <t>Renovare enerGetica a cladirilor REzidENtiale din Municipiul Craiova- GREEN-4 (PNRR)</t>
  </si>
  <si>
    <t>Cresterea Eficientei Energetice in cadrul cladirilor RezidenTiale din Municipiul Craiova - CEERT L4</t>
  </si>
  <si>
    <t xml:space="preserve">Cresterea Eficientei Energetice in cadrul cladirilor RezidenTiale din Municipiul Craiova - CEERT L5 </t>
  </si>
  <si>
    <t>Creșterea eficienței energetice în cadrul clădirilor rezidențiale din Municipiul Craiova - CEERT L4.1</t>
  </si>
  <si>
    <t>Creșterea eficienței energetice în cadrul clădirilor rezidențiale din Municipiul Craiova - CEERT L5.1</t>
  </si>
  <si>
    <t>Total cap. 70.02</t>
  </si>
  <si>
    <t>Cap. 80.02.  (Actiuni generale economice, comerciale si de munca)</t>
  </si>
  <si>
    <t>80.02.01.30</t>
  </si>
  <si>
    <t>CAMELOT: Cities And Metropolis in Europe Labouring Onward Together (Orașe și metropole in Europa lucrand mai departe impreuna)</t>
  </si>
  <si>
    <t>58.15.01</t>
  </si>
  <si>
    <t>58.15.02</t>
  </si>
  <si>
    <t>58.15.03</t>
  </si>
  <si>
    <t>48.02.15.01</t>
  </si>
  <si>
    <t>48.02.15.02</t>
  </si>
  <si>
    <t>Total cap. 80.02</t>
  </si>
  <si>
    <t>Cap. 84.02 (Transporturi)</t>
  </si>
  <si>
    <t>84.02.03.02</t>
  </si>
  <si>
    <t xml:space="preserve">Proiect Integrat de Modernizare a Sistemului de Transport Public  cu Tramvaiul In Municipiul Craiova - MOTRIC T1: Componenta Modernizarea caii de tramvai (in cale proprie) de pe str. Henry Ford in zona industriala Ford si Extinderea sistemului de management al traficului prin integrarea de noi intersectii sema-forizate cu functio-narea in regim adaptiv si sistem de comunicatii (Etapa 1, Faza 3); Componenta Extinderea sistemului de management al traficului prin integra-rea de noi intersectii semaforizate cu functionarea in regim adaptiv si sistem de comunicatii (Etapa 1, Faza 1 + Etapa 1, Faza 2); Componenta Modernizare depou si Modernizarea statiilor de redresare pentru alimentarea electrica a tramvaielor - Faza 1 - Modernizare statii de redresare si echipamente aferente </t>
  </si>
  <si>
    <t>Modernizarea căii de tramvai (în cale proprie) de pe Calea Severinului, în zona industrială Cernele de Sus – Faza 1 si Faza 2</t>
  </si>
  <si>
    <t xml:space="preserve">Modernizare depou si Modernizarea statiilor de redresare pentru alimentarea electrica a tramvaielor - Faza 2 - Modernizare depou tramvaie </t>
  </si>
  <si>
    <t xml:space="preserve">Achiziţie de mijloace de transport public - tramvaie (25m, 17 buc, Craiova) - parteneriat MDRAP </t>
  </si>
  <si>
    <t xml:space="preserve">Proiect Integrat de Modernizare a Sistemului de Transport Public  cu Autobuzele  In Municipiul Craiova - MOTRIC A: Componenta Extinderea sistemului de management al traficului prin integrarea de noi intersectii semaforizate cu functionarea in regim adaptiv si sistem de comunicatii (Etapa 1, Faza 4) si Reorganizarea circulatiei in zona centrala (Etapa 2, Faza 4), Componenta Innoirea parcului de vehicule de trans-port public urban - Achizitia de autobuze noi - Faza 2 + Faza 3 + Faza 4 (16 buc) </t>
  </si>
  <si>
    <t>Innoirea parcului de vehicule de transport public urban - Achizitia de autobuze noi - Faza 1 (30 buc)</t>
  </si>
  <si>
    <t>84.02.03.01</t>
  </si>
  <si>
    <t>Sprijin la nivelul regiunii Sud- Vest Oltenia  pentru pregătirea de proiecte finanțate din  perioada de programare 2021-2027 pe domeniile mobilitate urbană, regenerare urbană, tabere școlare, infrastructura si servicii publice de turism și infrastructură rutieră de interes județean in vederea finantarii documentatiilor tehnico-economice aferente obiectivului de investitii „Amenajarea unui coridor de mobilitate urbană în zona de Nord-Est a municipiului Craiova, tronson Pasaj Gârlești – str. Mălinului˝</t>
  </si>
  <si>
    <t>Modernizarea sistemului de TRansportpublIC cu autobuzul in zona Metropolitana Craiova - MOTRIC Metropolitan (PNRR – C10)</t>
  </si>
  <si>
    <t>Total cap. 84.02</t>
  </si>
  <si>
    <t>TOTAL GENERAL</t>
  </si>
  <si>
    <t>42.02.69 – Subvenţii de la bugetul de stat către bugetele locale necesare susţinerii derulării proiectelor finanţate din fonduri externe nerambursabile (FEN) postaderare aferente perioadei de programare 2014-2020****)</t>
  </si>
  <si>
    <t>48.02.01.01 - Sume FEN primite in contul platilor efectuate in anul curent</t>
  </si>
  <si>
    <t>48.02.01.02 - Sume FEN primite in contul platilor efectuate in anii anteriori</t>
  </si>
  <si>
    <t>42.02.62 - Sume alocate din bugetul de stat aferente corecţiilor financiare</t>
  </si>
  <si>
    <t>Alocări de sume din PNRR aferente componentei împrumuturi ( cod 42.02.89.01 la 42.02.89.03)</t>
  </si>
  <si>
    <t>42.02.89.01 - Fonduri din împrumut rambursabil</t>
  </si>
  <si>
    <t>42.02.89.03 - Sume aferente TVA</t>
  </si>
  <si>
    <t>Alocări de sume din PNRR aferente asistenței financiare nerambursabile ( cod 42.02.88 01 la 42.02.88.03)</t>
  </si>
  <si>
    <t>42.02.88.01 - Fonduri europene nerambursabile</t>
  </si>
  <si>
    <t>42.02.88.03 - Sume aferente TVA</t>
  </si>
  <si>
    <t>48.02.01.03 - Sume FEN Prefinantari</t>
  </si>
  <si>
    <t>TOTAL</t>
  </si>
  <si>
    <t>POR</t>
  </si>
  <si>
    <t>POIM</t>
  </si>
  <si>
    <t>PNRR</t>
  </si>
  <si>
    <t>PREŞEDINTE DE ŞEDINŢĂ</t>
  </si>
  <si>
    <t>LUCIAN - COSTIN DINDIRICĂ</t>
  </si>
  <si>
    <t>Anexa 70 la H.C.L. Nr.52/02.02.2022</t>
  </si>
  <si>
    <t>PROIECTE CU FINANTARE DIN FONDURI EXTERNE NERAMBURSABILE POSTADERARE ȘI DIN PLANUL NAȚIONAL DE REDRESARE ȘI REZILIENȚĂ</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</si>
</sst>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52">
    <font>
      <sz val="11"/>
      <color indexed="8"/>
      <name val="Calibri"/>
      <family val="2"/>
    </font>
    <font>
      <sz val="10"/>
      <name val="Arial"/>
      <family val="0"/>
    </font>
    <font>
      <sz val="10"/>
      <name val="Trebuchet MS"/>
      <family val="2"/>
    </font>
    <font>
      <sz val="10"/>
      <color indexed="8"/>
      <name val="Trebuchet MS"/>
      <family val="2"/>
    </font>
    <font>
      <b/>
      <sz val="10"/>
      <name val="Trebuchet MS"/>
      <family val="2"/>
    </font>
    <font>
      <b/>
      <sz val="14"/>
      <name val="Trebuchet MS"/>
      <family val="2"/>
    </font>
    <font>
      <b/>
      <sz val="10"/>
      <color indexed="8"/>
      <name val="Trebuchet MS"/>
      <family val="2"/>
    </font>
    <font>
      <b/>
      <sz val="10"/>
      <name val="Arial"/>
      <family val="2"/>
    </font>
    <font>
      <b/>
      <sz val="10"/>
      <color indexed="9"/>
      <name val="Trebuchet MS"/>
      <family val="2"/>
    </font>
    <font>
      <b/>
      <sz val="10"/>
      <color indexed="8"/>
      <name val="Arial"/>
      <family val="2"/>
    </font>
    <font>
      <sz val="10"/>
      <color indexed="9"/>
      <name val="Trebuchet MS"/>
      <family val="2"/>
    </font>
    <font>
      <b/>
      <sz val="9"/>
      <color indexed="8"/>
      <name val="Tahoma"/>
      <family val="2"/>
    </font>
    <font>
      <sz val="9"/>
      <color indexed="8"/>
      <name val="Tahoma"/>
      <family val="2"/>
    </font>
    <font>
      <sz val="10"/>
      <color indexed="12"/>
      <name val="Trebuchet MS"/>
      <family val="2"/>
    </font>
    <font>
      <b/>
      <i/>
      <sz val="10"/>
      <name val="Trebuchet MS"/>
      <family val="2"/>
    </font>
    <font>
      <b/>
      <i/>
      <sz val="10"/>
      <color indexed="8"/>
      <name val="Trebuchet MS"/>
      <family val="2"/>
    </font>
    <font>
      <i/>
      <sz val="11"/>
      <color indexed="8"/>
      <name val="Calibri"/>
      <family val="2"/>
    </font>
    <font>
      <i/>
      <sz val="10"/>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right" wrapText="1"/>
    </xf>
    <xf numFmtId="164" fontId="2" fillId="0" borderId="0" xfId="0" applyNumberFormat="1" applyFont="1" applyFill="1" applyAlignment="1">
      <alignment horizontal="right"/>
    </xf>
    <xf numFmtId="0" fontId="4" fillId="0" borderId="0" xfId="0" applyFont="1" applyFill="1" applyBorder="1" applyAlignment="1">
      <alignment horizontal="left" wrapText="1"/>
    </xf>
    <xf numFmtId="0" fontId="2" fillId="0" borderId="0" xfId="0" applyFont="1" applyFill="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2" fillId="0" borderId="0" xfId="0" applyFont="1" applyFill="1" applyAlignment="1">
      <alignment wrapText="1"/>
    </xf>
    <xf numFmtId="49" fontId="4" fillId="0" borderId="0" xfId="0" applyNumberFormat="1" applyFont="1" applyFill="1" applyAlignment="1">
      <alignment horizontal="center"/>
    </xf>
    <xf numFmtId="0" fontId="4"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Fill="1" applyAlignment="1">
      <alignment wrapText="1"/>
    </xf>
    <xf numFmtId="0" fontId="4" fillId="0" borderId="0" xfId="0" applyFont="1" applyFill="1" applyAlignment="1">
      <alignment/>
    </xf>
    <xf numFmtId="0" fontId="7" fillId="0" borderId="0" xfId="0" applyFont="1" applyFill="1" applyAlignment="1">
      <alignment/>
    </xf>
    <xf numFmtId="0" fontId="4" fillId="0" borderId="10" xfId="0" applyFont="1" applyFill="1" applyBorder="1" applyAlignment="1">
      <alignment vertical="center" wrapText="1"/>
    </xf>
    <xf numFmtId="0" fontId="6" fillId="0" borderId="0" xfId="0" applyFont="1" applyFill="1" applyAlignment="1">
      <alignment/>
    </xf>
    <xf numFmtId="0" fontId="8" fillId="0" borderId="0" xfId="0" applyFont="1" applyFill="1" applyAlignment="1">
      <alignment/>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0" fontId="3" fillId="0" borderId="10" xfId="0" applyFont="1" applyFill="1" applyBorder="1" applyAlignment="1">
      <alignment vertical="center" wrapText="1"/>
    </xf>
    <xf numFmtId="3" fontId="2" fillId="0" borderId="10" xfId="0" applyNumberFormat="1" applyFont="1" applyFill="1" applyBorder="1" applyAlignment="1">
      <alignment horizontal="right" vertical="center"/>
    </xf>
    <xf numFmtId="3" fontId="4" fillId="0" borderId="10" xfId="0" applyNumberFormat="1" applyFont="1" applyFill="1" applyBorder="1" applyAlignment="1">
      <alignmen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2" fillId="0" borderId="10" xfId="0" applyFont="1" applyFill="1" applyBorder="1" applyAlignment="1">
      <alignment horizontal="right" vertical="center" wrapText="1"/>
    </xf>
    <xf numFmtId="0" fontId="2" fillId="0" borderId="11" xfId="0" applyFont="1" applyFill="1" applyBorder="1" applyAlignment="1">
      <alignment vertical="top" wrapText="1"/>
    </xf>
    <xf numFmtId="3" fontId="2" fillId="0" borderId="10" xfId="0" applyNumberFormat="1" applyFont="1" applyFill="1" applyBorder="1" applyAlignment="1">
      <alignment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3" fontId="4" fillId="0" borderId="10" xfId="0" applyNumberFormat="1" applyFont="1" applyFill="1" applyBorder="1" applyAlignment="1">
      <alignment horizontal="right" vertical="center"/>
    </xf>
    <xf numFmtId="49" fontId="3" fillId="0" borderId="10" xfId="0" applyNumberFormat="1" applyFont="1" applyFill="1" applyBorder="1" applyAlignment="1">
      <alignment horizontal="right" vertical="center" wrapText="1"/>
    </xf>
    <xf numFmtId="0" fontId="6"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9" fillId="0" borderId="0" xfId="0" applyFont="1" applyFill="1" applyAlignment="1">
      <alignment/>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top"/>
    </xf>
    <xf numFmtId="0" fontId="2" fillId="0" borderId="12" xfId="0" applyFont="1" applyFill="1" applyBorder="1" applyAlignment="1">
      <alignment vertical="top"/>
    </xf>
    <xf numFmtId="0" fontId="2" fillId="0" borderId="13" xfId="0" applyFont="1" applyFill="1" applyBorder="1" applyAlignment="1">
      <alignment vertical="top"/>
    </xf>
    <xf numFmtId="3" fontId="3"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3" fillId="0" borderId="10" xfId="0" applyNumberFormat="1" applyFont="1" applyFill="1" applyBorder="1" applyAlignment="1">
      <alignment/>
    </xf>
    <xf numFmtId="3" fontId="0" fillId="0" borderId="10" xfId="0" applyNumberFormat="1" applyFill="1" applyBorder="1" applyAlignment="1">
      <alignment vertical="center"/>
    </xf>
    <xf numFmtId="0" fontId="4"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11" xfId="0" applyFont="1" applyFill="1" applyBorder="1" applyAlignment="1">
      <alignment vertical="center" wrapText="1"/>
    </xf>
    <xf numFmtId="3" fontId="2" fillId="0" borderId="10" xfId="0" applyNumberFormat="1"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0" xfId="0" applyFont="1" applyFill="1" applyBorder="1" applyAlignment="1">
      <alignment horizontal="left" vertical="center" wrapText="1"/>
    </xf>
    <xf numFmtId="0" fontId="3" fillId="0" borderId="0" xfId="0" applyFont="1" applyFill="1" applyAlignment="1">
      <alignment vertical="center"/>
    </xf>
    <xf numFmtId="0" fontId="10" fillId="0" borderId="0" xfId="0" applyFont="1" applyFill="1" applyAlignment="1">
      <alignment vertical="center"/>
    </xf>
    <xf numFmtId="3" fontId="6" fillId="0" borderId="10" xfId="0" applyNumberFormat="1" applyFont="1" applyFill="1" applyBorder="1" applyAlignment="1">
      <alignment vertical="center" wrapText="1"/>
    </xf>
    <xf numFmtId="0" fontId="6" fillId="0" borderId="0" xfId="0" applyFont="1" applyFill="1" applyAlignment="1">
      <alignment vertical="center"/>
    </xf>
    <xf numFmtId="0" fontId="8"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3" fontId="3"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Alignment="1">
      <alignment/>
    </xf>
    <xf numFmtId="3" fontId="2" fillId="0" borderId="0" xfId="0" applyNumberFormat="1" applyFont="1" applyFill="1" applyAlignment="1">
      <alignment vertical="center"/>
    </xf>
    <xf numFmtId="3" fontId="2" fillId="0" borderId="0" xfId="0" applyNumberFormat="1" applyFont="1" applyFill="1" applyAlignment="1">
      <alignment vertical="center"/>
    </xf>
    <xf numFmtId="3" fontId="3" fillId="0" borderId="0" xfId="0" applyNumberFormat="1" applyFont="1" applyFill="1" applyAlignment="1">
      <alignment vertical="center"/>
    </xf>
    <xf numFmtId="3" fontId="10" fillId="0" borderId="0" xfId="0" applyNumberFormat="1" applyFont="1" applyFill="1" applyAlignment="1">
      <alignment vertical="center"/>
    </xf>
    <xf numFmtId="3" fontId="6" fillId="0" borderId="0" xfId="0" applyNumberFormat="1" applyFont="1" applyFill="1" applyAlignment="1">
      <alignment vertical="center"/>
    </xf>
    <xf numFmtId="3" fontId="8"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49"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3" fontId="2" fillId="0" borderId="10" xfId="0" applyNumberFormat="1" applyFont="1" applyFill="1" applyBorder="1" applyAlignment="1">
      <alignment vertical="center"/>
    </xf>
    <xf numFmtId="3" fontId="4" fillId="33" borderId="10" xfId="0" applyNumberFormat="1" applyFont="1" applyFill="1" applyBorder="1" applyAlignment="1">
      <alignment vertical="center" wrapText="1"/>
    </xf>
    <xf numFmtId="3" fontId="4" fillId="33" borderId="10" xfId="0" applyNumberFormat="1" applyFont="1" applyFill="1" applyBorder="1" applyAlignment="1">
      <alignment vertical="center"/>
    </xf>
    <xf numFmtId="3" fontId="2" fillId="33" borderId="10" xfId="0" applyNumberFormat="1" applyFont="1" applyFill="1" applyBorder="1" applyAlignment="1">
      <alignment vertical="center" wrapText="1"/>
    </xf>
    <xf numFmtId="3" fontId="2" fillId="33" borderId="10" xfId="0" applyNumberFormat="1" applyFont="1" applyFill="1" applyBorder="1" applyAlignment="1">
      <alignment vertical="center"/>
    </xf>
    <xf numFmtId="3" fontId="3" fillId="0" borderId="10" xfId="0" applyNumberFormat="1" applyFont="1" applyFill="1" applyBorder="1" applyAlignment="1">
      <alignment horizontal="right" wrapText="1"/>
    </xf>
    <xf numFmtId="3" fontId="2" fillId="33" borderId="10" xfId="0" applyNumberFormat="1" applyFont="1" applyFill="1" applyBorder="1" applyAlignment="1">
      <alignment horizontal="right" vertical="center" wrapText="1"/>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3" fontId="2" fillId="33" borderId="10" xfId="0" applyNumberFormat="1" applyFont="1" applyFill="1" applyBorder="1" applyAlignment="1">
      <alignment vertical="center" wrapText="1"/>
    </xf>
    <xf numFmtId="3" fontId="4" fillId="33" borderId="10" xfId="0" applyNumberFormat="1" applyFont="1" applyFill="1" applyBorder="1" applyAlignment="1">
      <alignment vertical="center" wrapText="1"/>
    </xf>
    <xf numFmtId="3" fontId="2" fillId="0" borderId="10" xfId="0" applyNumberFormat="1" applyFont="1" applyFill="1" applyBorder="1" applyAlignment="1">
      <alignment vertical="center"/>
    </xf>
    <xf numFmtId="3" fontId="13" fillId="0" borderId="10" xfId="0" applyNumberFormat="1" applyFont="1" applyFill="1" applyBorder="1" applyAlignment="1">
      <alignment vertical="center" wrapText="1"/>
    </xf>
    <xf numFmtId="0" fontId="0" fillId="0" borderId="10" xfId="0" applyFill="1" applyBorder="1" applyAlignment="1">
      <alignment/>
    </xf>
    <xf numFmtId="0" fontId="3" fillId="0" borderId="0" xfId="0" applyFont="1" applyFill="1" applyAlignment="1">
      <alignment horizontal="right" vertical="center"/>
    </xf>
    <xf numFmtId="0" fontId="3" fillId="0" borderId="10" xfId="0" applyFont="1" applyFill="1" applyBorder="1" applyAlignment="1">
      <alignment horizontal="right" wrapText="1"/>
    </xf>
    <xf numFmtId="0" fontId="3" fillId="0" borderId="10" xfId="0" applyFont="1" applyBorder="1" applyAlignment="1">
      <alignment vertical="center" wrapText="1"/>
    </xf>
    <xf numFmtId="3" fontId="6" fillId="0" borderId="10" xfId="0" applyNumberFormat="1" applyFont="1" applyFill="1" applyBorder="1" applyAlignment="1">
      <alignment horizontal="right" vertical="center" wrapText="1"/>
    </xf>
    <xf numFmtId="3" fontId="6" fillId="34" borderId="10" xfId="0" applyNumberFormat="1" applyFont="1" applyFill="1" applyBorder="1" applyAlignment="1">
      <alignment horizontal="right" vertical="center" wrapText="1"/>
    </xf>
    <xf numFmtId="3" fontId="6" fillId="35" borderId="0" xfId="0" applyNumberFormat="1" applyFont="1" applyFill="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xf>
    <xf numFmtId="49" fontId="14" fillId="0" borderId="10" xfId="0" applyNumberFormat="1" applyFont="1" applyFill="1" applyBorder="1" applyAlignment="1">
      <alignment horizontal="right" vertical="center" wrapText="1"/>
    </xf>
    <xf numFmtId="3" fontId="15" fillId="0" borderId="10" xfId="0" applyNumberFormat="1" applyFont="1" applyFill="1" applyBorder="1" applyAlignment="1">
      <alignment vertical="center"/>
    </xf>
    <xf numFmtId="3" fontId="6" fillId="0" borderId="0" xfId="0" applyNumberFormat="1" applyFont="1" applyFill="1" applyAlignment="1">
      <alignment vertical="center"/>
    </xf>
    <xf numFmtId="49" fontId="15" fillId="0" borderId="10" xfId="0" applyNumberFormat="1" applyFont="1" applyFill="1" applyBorder="1" applyAlignment="1">
      <alignment horizontal="right" vertical="center" wrapText="1"/>
    </xf>
    <xf numFmtId="0" fontId="16" fillId="0" borderId="14" xfId="0" applyFont="1" applyFill="1" applyBorder="1" applyAlignment="1">
      <alignment horizontal="right" vertical="center" wrapText="1"/>
    </xf>
    <xf numFmtId="3" fontId="17" fillId="0" borderId="10" xfId="0" applyNumberFormat="1" applyFont="1" applyFill="1" applyBorder="1" applyAlignment="1">
      <alignment vertical="center"/>
    </xf>
    <xf numFmtId="49" fontId="14" fillId="0" borderId="10" xfId="0" applyNumberFormat="1" applyFont="1" applyFill="1" applyBorder="1" applyAlignment="1">
      <alignment horizontal="right" vertical="center"/>
    </xf>
    <xf numFmtId="0" fontId="2" fillId="0" borderId="10" xfId="0" applyFont="1" applyFill="1" applyBorder="1" applyAlignment="1">
      <alignment/>
    </xf>
    <xf numFmtId="0" fontId="4" fillId="0" borderId="10" xfId="0" applyFont="1" applyFill="1" applyBorder="1" applyAlignment="1">
      <alignment horizontal="center"/>
    </xf>
    <xf numFmtId="3" fontId="15" fillId="0" borderId="10" xfId="0" applyNumberFormat="1" applyFont="1" applyFill="1" applyBorder="1" applyAlignment="1">
      <alignment horizontal="right"/>
    </xf>
    <xf numFmtId="0" fontId="10" fillId="0" borderId="0" xfId="0" applyFont="1" applyFill="1" applyAlignment="1">
      <alignment/>
    </xf>
    <xf numFmtId="3" fontId="2" fillId="0" borderId="0" xfId="0" applyNumberFormat="1" applyFont="1" applyFill="1" applyAlignment="1">
      <alignment/>
    </xf>
    <xf numFmtId="0" fontId="2" fillId="0" borderId="0" xfId="0" applyFont="1" applyFill="1" applyBorder="1" applyAlignment="1">
      <alignment/>
    </xf>
    <xf numFmtId="0" fontId="4" fillId="0" borderId="0" xfId="0" applyFont="1" applyFill="1" applyBorder="1" applyAlignment="1">
      <alignment horizontal="center"/>
    </xf>
    <xf numFmtId="3" fontId="15" fillId="0" borderId="0" xfId="0" applyNumberFormat="1" applyFont="1" applyFill="1" applyBorder="1" applyAlignment="1">
      <alignment horizontal="right"/>
    </xf>
    <xf numFmtId="0" fontId="7" fillId="0" borderId="0" xfId="0" applyFont="1" applyFill="1" applyBorder="1" applyAlignment="1">
      <alignment horizontal="center"/>
    </xf>
    <xf numFmtId="0" fontId="1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Border="1" applyAlignment="1">
      <alignment horizontal="center"/>
    </xf>
    <xf numFmtId="0" fontId="4" fillId="0" borderId="0" xfId="0" applyFont="1" applyFill="1" applyAlignment="1">
      <alignment horizontal="right"/>
    </xf>
    <xf numFmtId="3" fontId="4" fillId="0" borderId="0" xfId="0" applyNumberFormat="1" applyFont="1" applyFill="1" applyAlignment="1">
      <alignment/>
    </xf>
    <xf numFmtId="0" fontId="4" fillId="0" borderId="10" xfId="0" applyFont="1" applyFill="1" applyBorder="1" applyAlignment="1">
      <alignment horizontal="right" vertical="center" wrapText="1"/>
    </xf>
    <xf numFmtId="0" fontId="7" fillId="0" borderId="0" xfId="0" applyFont="1" applyFill="1" applyBorder="1" applyAlignment="1">
      <alignment horizontal="center"/>
    </xf>
    <xf numFmtId="0" fontId="2" fillId="0" borderId="0" xfId="0" applyFont="1" applyFill="1" applyBorder="1" applyAlignment="1">
      <alignment horizont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4" fillId="0" borderId="10" xfId="0" applyFont="1" applyFill="1" applyBorder="1" applyAlignment="1">
      <alignment horizontal="righ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5"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480"/>
  <sheetViews>
    <sheetView tabSelected="1" view="pageBreakPreview" zoomScaleSheetLayoutView="100" zoomScalePageLayoutView="0" workbookViewId="0" topLeftCell="A407">
      <selection activeCell="B443" sqref="B443"/>
    </sheetView>
  </sheetViews>
  <sheetFormatPr defaultColWidth="11.57421875" defaultRowHeight="15"/>
  <cols>
    <col min="1" max="1" width="13.140625" style="1" customWidth="1"/>
    <col min="2" max="2" width="76.7109375" style="1" customWidth="1"/>
    <col min="3" max="3" width="15.8515625" style="1" customWidth="1"/>
    <col min="4" max="5" width="9.140625" style="1" customWidth="1"/>
    <col min="6" max="6" width="9.421875" style="1" customWidth="1"/>
    <col min="7" max="7" width="7.57421875" style="1" customWidth="1"/>
    <col min="8" max="8" width="11.28125" style="2" customWidth="1"/>
    <col min="9" max="10" width="9.00390625" style="1" customWidth="1"/>
    <col min="11" max="11" width="13.7109375" style="1" customWidth="1"/>
    <col min="12" max="12" width="10.28125" style="1" customWidth="1"/>
    <col min="13" max="13" width="12.8515625" style="1" customWidth="1"/>
    <col min="14" max="241" width="9.00390625" style="1" customWidth="1"/>
    <col min="242" max="251" width="9.140625" style="3" customWidth="1"/>
    <col min="252" max="16384" width="11.57421875" style="4" customWidth="1"/>
  </cols>
  <sheetData>
    <row r="1" spans="1:252" s="1" customFormat="1" ht="19.5" customHeight="1">
      <c r="A1" s="5" t="s">
        <v>0</v>
      </c>
      <c r="B1" s="6"/>
      <c r="C1" s="7" t="s">
        <v>129</v>
      </c>
      <c r="ID1" s="3"/>
      <c r="IE1" s="3"/>
      <c r="IF1" s="3"/>
      <c r="IG1" s="3"/>
      <c r="IH1"/>
      <c r="II1"/>
      <c r="IJ1"/>
      <c r="IK1"/>
      <c r="IL1"/>
      <c r="IM1"/>
      <c r="IN1"/>
      <c r="IO1"/>
      <c r="IP1"/>
      <c r="IQ1"/>
      <c r="IR1"/>
    </row>
    <row r="2" spans="1:252" s="1" customFormat="1" ht="18" customHeight="1">
      <c r="A2" s="161" t="s">
        <v>1</v>
      </c>
      <c r="B2" s="161"/>
      <c r="C2" s="7"/>
      <c r="ID2" s="3"/>
      <c r="IE2" s="3"/>
      <c r="IF2" s="3"/>
      <c r="IG2" s="3"/>
      <c r="IH2"/>
      <c r="II2"/>
      <c r="IJ2"/>
      <c r="IK2"/>
      <c r="IL2"/>
      <c r="IM2"/>
      <c r="IN2"/>
      <c r="IO2"/>
      <c r="IP2"/>
      <c r="IQ2"/>
      <c r="IR2"/>
    </row>
    <row r="3" spans="1:252" s="1" customFormat="1" ht="17.25" customHeight="1">
      <c r="A3" s="161" t="s">
        <v>2</v>
      </c>
      <c r="B3" s="161"/>
      <c r="C3" s="161"/>
      <c r="ID3" s="3"/>
      <c r="IE3" s="3"/>
      <c r="IF3" s="3"/>
      <c r="IG3" s="3"/>
      <c r="IH3"/>
      <c r="II3"/>
      <c r="IJ3"/>
      <c r="IK3"/>
      <c r="IL3"/>
      <c r="IM3"/>
      <c r="IN3"/>
      <c r="IO3"/>
      <c r="IP3"/>
      <c r="IQ3"/>
      <c r="IR3"/>
    </row>
    <row r="4" spans="1:252" s="1" customFormat="1" ht="15.75" customHeight="1">
      <c r="A4" s="162"/>
      <c r="B4" s="162"/>
      <c r="C4" s="7"/>
      <c r="ID4" s="3"/>
      <c r="IE4" s="3"/>
      <c r="IF4" s="3"/>
      <c r="IG4" s="3"/>
      <c r="IH4"/>
      <c r="II4"/>
      <c r="IJ4"/>
      <c r="IK4"/>
      <c r="IL4"/>
      <c r="IM4"/>
      <c r="IN4"/>
      <c r="IO4"/>
      <c r="IP4"/>
      <c r="IQ4"/>
      <c r="IR4"/>
    </row>
    <row r="5" spans="1:6" ht="15.75" customHeight="1">
      <c r="A5" s="8"/>
      <c r="B5" s="8"/>
      <c r="C5" s="7"/>
      <c r="D5" s="9"/>
      <c r="E5" s="9"/>
      <c r="F5" s="9"/>
    </row>
    <row r="6" spans="1:7" ht="42" customHeight="1">
      <c r="A6" s="163" t="s">
        <v>130</v>
      </c>
      <c r="B6" s="163"/>
      <c r="C6" s="163"/>
      <c r="D6" s="11"/>
      <c r="E6" s="11"/>
      <c r="F6" s="11"/>
      <c r="G6" s="11"/>
    </row>
    <row r="7" spans="1:7" ht="25.5" customHeight="1">
      <c r="A7" s="11"/>
      <c r="B7" s="10">
        <v>2023</v>
      </c>
      <c r="C7" s="11"/>
      <c r="D7" s="11"/>
      <c r="E7" s="11"/>
      <c r="F7" s="11"/>
      <c r="G7" s="11"/>
    </row>
    <row r="8" spans="1:7" ht="15.75" customHeight="1">
      <c r="A8" s="12"/>
      <c r="B8" s="13"/>
      <c r="C8" s="14"/>
      <c r="D8" s="9"/>
      <c r="E8" s="9"/>
      <c r="F8" s="9"/>
      <c r="G8" s="14"/>
    </row>
    <row r="9" spans="1:246" s="20" customFormat="1" ht="30.75" customHeight="1">
      <c r="A9" s="15" t="s">
        <v>3</v>
      </c>
      <c r="B9" s="16" t="s">
        <v>4</v>
      </c>
      <c r="C9" s="15" t="s">
        <v>5</v>
      </c>
      <c r="D9" s="17" t="s">
        <v>6</v>
      </c>
      <c r="E9" s="17" t="s">
        <v>7</v>
      </c>
      <c r="F9" s="17" t="s">
        <v>8</v>
      </c>
      <c r="G9" s="18" t="s">
        <v>9</v>
      </c>
      <c r="H9" s="19"/>
      <c r="IH9" s="21"/>
      <c r="II9" s="21"/>
      <c r="IJ9" s="21"/>
      <c r="IK9" s="21"/>
      <c r="IL9" s="21"/>
    </row>
    <row r="10" spans="1:246" s="20" customFormat="1" ht="15.75" customHeight="1">
      <c r="A10" s="157" t="s">
        <v>10</v>
      </c>
      <c r="B10" s="157"/>
      <c r="C10" s="157"/>
      <c r="D10" s="15"/>
      <c r="E10" s="15"/>
      <c r="F10" s="15"/>
      <c r="G10" s="16"/>
      <c r="H10" s="23"/>
      <c r="I10" s="24"/>
      <c r="J10" s="24"/>
      <c r="IH10" s="21"/>
      <c r="II10" s="21"/>
      <c r="IJ10" s="21"/>
      <c r="IK10" s="21"/>
      <c r="IL10" s="21"/>
    </row>
    <row r="11" spans="1:246" s="20" customFormat="1" ht="31.5" customHeight="1">
      <c r="A11" s="22" t="s">
        <v>11</v>
      </c>
      <c r="B11" s="25" t="s">
        <v>12</v>
      </c>
      <c r="C11" s="26">
        <f>C12+C13+C14</f>
        <v>4</v>
      </c>
      <c r="D11" s="27">
        <f>D12+D13++D14</f>
        <v>4</v>
      </c>
      <c r="E11" s="27">
        <f>E12+E13++E14</f>
        <v>0</v>
      </c>
      <c r="F11" s="27">
        <f>F12+F13++F14</f>
        <v>0</v>
      </c>
      <c r="G11" s="27">
        <f>G12+G13++G14</f>
        <v>0</v>
      </c>
      <c r="H11" s="28"/>
      <c r="I11" s="24"/>
      <c r="J11" s="24"/>
      <c r="IH11" s="21"/>
      <c r="II11" s="21"/>
      <c r="IJ11" s="21"/>
      <c r="IK11" s="21"/>
      <c r="IL11" s="21"/>
    </row>
    <row r="12" spans="1:246" s="20" customFormat="1" ht="18" customHeight="1">
      <c r="A12" s="29" t="s">
        <v>13</v>
      </c>
      <c r="B12" s="30" t="s">
        <v>14</v>
      </c>
      <c r="C12" s="31">
        <v>3</v>
      </c>
      <c r="D12" s="32">
        <v>3</v>
      </c>
      <c r="E12" s="32">
        <v>0</v>
      </c>
      <c r="F12" s="32">
        <v>0</v>
      </c>
      <c r="G12" s="33">
        <v>0</v>
      </c>
      <c r="H12" s="28"/>
      <c r="I12" s="24"/>
      <c r="J12" s="24"/>
      <c r="IH12" s="21"/>
      <c r="II12" s="21"/>
      <c r="IJ12" s="21"/>
      <c r="IK12" s="21"/>
      <c r="IL12" s="21"/>
    </row>
    <row r="13" spans="1:246" s="20" customFormat="1" ht="15.75" customHeight="1">
      <c r="A13" s="29" t="s">
        <v>15</v>
      </c>
      <c r="B13" s="30" t="s">
        <v>16</v>
      </c>
      <c r="C13" s="31">
        <f>D13+E13+F13+G13</f>
        <v>0</v>
      </c>
      <c r="D13" s="32">
        <v>0</v>
      </c>
      <c r="E13" s="32">
        <v>0</v>
      </c>
      <c r="F13" s="32">
        <v>0</v>
      </c>
      <c r="G13" s="33">
        <v>0</v>
      </c>
      <c r="H13" s="28"/>
      <c r="I13" s="24"/>
      <c r="J13" s="24"/>
      <c r="IH13" s="21"/>
      <c r="II13" s="21"/>
      <c r="IJ13" s="21"/>
      <c r="IK13" s="21"/>
      <c r="IL13" s="21"/>
    </row>
    <row r="14" spans="1:246" s="20" customFormat="1" ht="16.5" customHeight="1">
      <c r="A14" s="34" t="s">
        <v>17</v>
      </c>
      <c r="B14" s="30" t="s">
        <v>18</v>
      </c>
      <c r="C14" s="31">
        <v>1</v>
      </c>
      <c r="D14" s="32">
        <v>1</v>
      </c>
      <c r="E14" s="32">
        <v>0</v>
      </c>
      <c r="F14" s="32">
        <v>0</v>
      </c>
      <c r="G14" s="33">
        <v>0</v>
      </c>
      <c r="H14" s="28"/>
      <c r="I14" s="24"/>
      <c r="J14" s="24"/>
      <c r="IH14" s="21"/>
      <c r="II14" s="21"/>
      <c r="IJ14" s="21"/>
      <c r="IK14" s="21"/>
      <c r="IL14" s="21"/>
    </row>
    <row r="15" spans="1:246" s="20" customFormat="1" ht="18" customHeight="1" hidden="1">
      <c r="A15" s="35"/>
      <c r="B15" s="22"/>
      <c r="C15" s="31"/>
      <c r="D15" s="32"/>
      <c r="E15" s="32"/>
      <c r="F15" s="32"/>
      <c r="G15" s="33"/>
      <c r="H15" s="28"/>
      <c r="I15" s="24"/>
      <c r="J15" s="24"/>
      <c r="IH15" s="21"/>
      <c r="II15" s="21"/>
      <c r="IJ15" s="21"/>
      <c r="IK15" s="21"/>
      <c r="IL15" s="21"/>
    </row>
    <row r="16" spans="1:246" s="20" customFormat="1" ht="18" customHeight="1" hidden="1">
      <c r="A16" s="36"/>
      <c r="B16" s="22"/>
      <c r="C16" s="26">
        <f>C17+C18+C19</f>
        <v>4</v>
      </c>
      <c r="D16" s="37">
        <f>D17+D18+D19</f>
        <v>4</v>
      </c>
      <c r="E16" s="37">
        <f>E17+E18+E19</f>
        <v>0</v>
      </c>
      <c r="F16" s="37">
        <f>F17+F18+F19</f>
        <v>0</v>
      </c>
      <c r="G16" s="37">
        <f>G17+G18+G19</f>
        <v>0</v>
      </c>
      <c r="H16" s="28"/>
      <c r="I16" s="24"/>
      <c r="J16" s="24"/>
      <c r="IH16" s="21"/>
      <c r="II16" s="21"/>
      <c r="IJ16" s="21"/>
      <c r="IK16" s="21"/>
      <c r="IL16" s="21"/>
    </row>
    <row r="17" spans="1:246" s="20" customFormat="1" ht="18" customHeight="1" hidden="1">
      <c r="A17" s="34" t="s">
        <v>19</v>
      </c>
      <c r="B17" s="38" t="s">
        <v>14</v>
      </c>
      <c r="C17" s="31">
        <v>3</v>
      </c>
      <c r="D17" s="32">
        <v>3</v>
      </c>
      <c r="E17" s="32">
        <v>0</v>
      </c>
      <c r="F17" s="32">
        <v>0</v>
      </c>
      <c r="G17" s="33">
        <v>0</v>
      </c>
      <c r="H17" s="28"/>
      <c r="I17" s="24"/>
      <c r="J17" s="24"/>
      <c r="IH17" s="21"/>
      <c r="II17" s="21"/>
      <c r="IJ17" s="21"/>
      <c r="IK17" s="21"/>
      <c r="IL17" s="21"/>
    </row>
    <row r="18" spans="1:246" s="20" customFormat="1" ht="18" customHeight="1" hidden="1">
      <c r="A18" s="34" t="s">
        <v>20</v>
      </c>
      <c r="B18" s="38" t="s">
        <v>21</v>
      </c>
      <c r="C18" s="31">
        <f>D18+E18+F18+G18</f>
        <v>0</v>
      </c>
      <c r="D18" s="32">
        <v>0</v>
      </c>
      <c r="E18" s="32">
        <v>0</v>
      </c>
      <c r="F18" s="32">
        <v>0</v>
      </c>
      <c r="G18" s="33">
        <v>0</v>
      </c>
      <c r="H18" s="28"/>
      <c r="I18" s="24"/>
      <c r="J18" s="24"/>
      <c r="IH18" s="21"/>
      <c r="II18" s="21"/>
      <c r="IJ18" s="21"/>
      <c r="IK18" s="21"/>
      <c r="IL18" s="21"/>
    </row>
    <row r="19" spans="1:246" s="20" customFormat="1" ht="18" customHeight="1" hidden="1">
      <c r="A19" s="34" t="s">
        <v>22</v>
      </c>
      <c r="B19" s="38" t="s">
        <v>18</v>
      </c>
      <c r="C19" s="31">
        <v>1</v>
      </c>
      <c r="D19" s="32">
        <v>1</v>
      </c>
      <c r="E19" s="32">
        <v>0</v>
      </c>
      <c r="F19" s="32">
        <v>0</v>
      </c>
      <c r="G19" s="33">
        <v>0</v>
      </c>
      <c r="H19" s="28"/>
      <c r="I19" s="24"/>
      <c r="J19" s="24"/>
      <c r="IH19" s="21"/>
      <c r="II19" s="21"/>
      <c r="IJ19" s="21"/>
      <c r="IK19" s="21"/>
      <c r="IL19" s="21"/>
    </row>
    <row r="20" spans="1:246" s="20" customFormat="1" ht="31.5" customHeight="1">
      <c r="A20" s="22" t="s">
        <v>11</v>
      </c>
      <c r="B20" s="25" t="s">
        <v>23</v>
      </c>
      <c r="C20" s="26">
        <f>C21+C22+C23</f>
        <v>4</v>
      </c>
      <c r="D20" s="27">
        <f>D21+D22++D23</f>
        <v>4</v>
      </c>
      <c r="E20" s="27">
        <f>E21+E22++E23</f>
        <v>0</v>
      </c>
      <c r="F20" s="27">
        <f>F21+F22++F23</f>
        <v>0</v>
      </c>
      <c r="G20" s="27">
        <f>G21+G22++G23</f>
        <v>0</v>
      </c>
      <c r="H20" s="28"/>
      <c r="I20" s="24"/>
      <c r="J20" s="24"/>
      <c r="IH20" s="21"/>
      <c r="II20" s="21"/>
      <c r="IJ20" s="21"/>
      <c r="IK20" s="21"/>
      <c r="IL20" s="21"/>
    </row>
    <row r="21" spans="1:246" s="20" customFormat="1" ht="18" customHeight="1">
      <c r="A21" s="29" t="s">
        <v>13</v>
      </c>
      <c r="B21" s="30" t="s">
        <v>14</v>
      </c>
      <c r="C21" s="31">
        <v>3</v>
      </c>
      <c r="D21" s="32">
        <v>3</v>
      </c>
      <c r="E21" s="32">
        <v>0</v>
      </c>
      <c r="F21" s="32">
        <v>0</v>
      </c>
      <c r="G21" s="33">
        <v>0</v>
      </c>
      <c r="H21" s="28"/>
      <c r="I21" s="24"/>
      <c r="J21" s="24"/>
      <c r="IH21" s="21"/>
      <c r="II21" s="21"/>
      <c r="IJ21" s="21"/>
      <c r="IK21" s="21"/>
      <c r="IL21" s="21"/>
    </row>
    <row r="22" spans="1:246" s="20" customFormat="1" ht="15.75" customHeight="1">
      <c r="A22" s="29" t="s">
        <v>15</v>
      </c>
      <c r="B22" s="30" t="s">
        <v>16</v>
      </c>
      <c r="C22" s="31">
        <f>D22+E22+F22+G22</f>
        <v>0</v>
      </c>
      <c r="D22" s="32">
        <v>0</v>
      </c>
      <c r="E22" s="32">
        <v>0</v>
      </c>
      <c r="F22" s="32">
        <v>0</v>
      </c>
      <c r="G22" s="33">
        <v>0</v>
      </c>
      <c r="H22" s="28"/>
      <c r="I22" s="24"/>
      <c r="J22" s="24"/>
      <c r="IH22" s="21"/>
      <c r="II22" s="21"/>
      <c r="IJ22" s="21"/>
      <c r="IK22" s="21"/>
      <c r="IL22" s="21"/>
    </row>
    <row r="23" spans="1:246" s="20" customFormat="1" ht="16.5" customHeight="1">
      <c r="A23" s="34" t="s">
        <v>17</v>
      </c>
      <c r="B23" s="30" t="s">
        <v>18</v>
      </c>
      <c r="C23" s="31">
        <v>1</v>
      </c>
      <c r="D23" s="32">
        <v>1</v>
      </c>
      <c r="E23" s="32">
        <v>0</v>
      </c>
      <c r="F23" s="32">
        <v>0</v>
      </c>
      <c r="G23" s="33">
        <v>0</v>
      </c>
      <c r="H23" s="28"/>
      <c r="I23" s="24"/>
      <c r="J23" s="24"/>
      <c r="IH23" s="21"/>
      <c r="II23" s="21"/>
      <c r="IJ23" s="21"/>
      <c r="IK23" s="21"/>
      <c r="IL23" s="21"/>
    </row>
    <row r="24" spans="1:246" s="20" customFormat="1" ht="18" customHeight="1" hidden="1">
      <c r="A24" s="35"/>
      <c r="B24" s="22"/>
      <c r="C24" s="31"/>
      <c r="D24" s="31"/>
      <c r="E24" s="31"/>
      <c r="F24" s="31"/>
      <c r="G24" s="39"/>
      <c r="H24" s="28"/>
      <c r="I24" s="24"/>
      <c r="J24" s="24"/>
      <c r="IH24" s="21"/>
      <c r="II24" s="21"/>
      <c r="IJ24" s="21"/>
      <c r="IK24" s="21"/>
      <c r="IL24" s="21"/>
    </row>
    <row r="25" spans="1:246" s="20" customFormat="1" ht="18" customHeight="1" hidden="1">
      <c r="A25" s="36"/>
      <c r="B25" s="22"/>
      <c r="C25" s="26">
        <f>C26+C27+C28</f>
        <v>4</v>
      </c>
      <c r="D25" s="26">
        <f>D26+D27+D28</f>
        <v>4</v>
      </c>
      <c r="E25" s="26">
        <f>E26+E27+E28</f>
        <v>0</v>
      </c>
      <c r="F25" s="26">
        <f>F26+F27+F28</f>
        <v>0</v>
      </c>
      <c r="G25" s="26">
        <f>G26+G27+G28</f>
        <v>0</v>
      </c>
      <c r="H25" s="28"/>
      <c r="I25" s="24"/>
      <c r="J25" s="24"/>
      <c r="IH25" s="21"/>
      <c r="II25" s="21"/>
      <c r="IJ25" s="21"/>
      <c r="IK25" s="21"/>
      <c r="IL25" s="21"/>
    </row>
    <row r="26" spans="1:246" s="20" customFormat="1" ht="18" customHeight="1" hidden="1">
      <c r="A26" s="34" t="s">
        <v>19</v>
      </c>
      <c r="B26" s="38" t="s">
        <v>14</v>
      </c>
      <c r="C26" s="31">
        <v>3</v>
      </c>
      <c r="D26" s="31">
        <v>3</v>
      </c>
      <c r="E26" s="31">
        <v>0</v>
      </c>
      <c r="F26" s="31">
        <v>0</v>
      </c>
      <c r="G26" s="39">
        <v>0</v>
      </c>
      <c r="H26" s="28"/>
      <c r="I26" s="24"/>
      <c r="J26" s="24"/>
      <c r="IH26" s="21"/>
      <c r="II26" s="21"/>
      <c r="IJ26" s="21"/>
      <c r="IK26" s="21"/>
      <c r="IL26" s="21"/>
    </row>
    <row r="27" spans="1:246" s="20" customFormat="1" ht="18" customHeight="1" hidden="1">
      <c r="A27" s="34" t="s">
        <v>20</v>
      </c>
      <c r="B27" s="38" t="s">
        <v>21</v>
      </c>
      <c r="C27" s="31">
        <f>D27+E27+F27+G27</f>
        <v>0</v>
      </c>
      <c r="D27" s="31">
        <v>0</v>
      </c>
      <c r="E27" s="31">
        <v>0</v>
      </c>
      <c r="F27" s="31">
        <v>0</v>
      </c>
      <c r="G27" s="39">
        <v>0</v>
      </c>
      <c r="H27" s="28"/>
      <c r="I27" s="24"/>
      <c r="J27" s="24"/>
      <c r="IH27" s="21"/>
      <c r="II27" s="21"/>
      <c r="IJ27" s="21"/>
      <c r="IK27" s="21"/>
      <c r="IL27" s="21"/>
    </row>
    <row r="28" spans="1:246" s="20" customFormat="1" ht="18" customHeight="1" hidden="1">
      <c r="A28" s="34" t="s">
        <v>22</v>
      </c>
      <c r="B28" s="38" t="s">
        <v>18</v>
      </c>
      <c r="C28" s="31">
        <v>1</v>
      </c>
      <c r="D28" s="31">
        <v>1</v>
      </c>
      <c r="E28" s="31">
        <v>0</v>
      </c>
      <c r="F28" s="31">
        <v>0</v>
      </c>
      <c r="G28" s="39">
        <v>0</v>
      </c>
      <c r="H28" s="28"/>
      <c r="I28" s="24"/>
      <c r="J28" s="24"/>
      <c r="IH28" s="21"/>
      <c r="II28" s="21"/>
      <c r="IJ28" s="21"/>
      <c r="IK28" s="21"/>
      <c r="IL28" s="21"/>
    </row>
    <row r="29" spans="1:246" s="20" customFormat="1" ht="44.25" customHeight="1">
      <c r="A29" s="22" t="s">
        <v>11</v>
      </c>
      <c r="B29" s="22" t="s">
        <v>24</v>
      </c>
      <c r="C29" s="40">
        <f>C30+C31+C32</f>
        <v>6068</v>
      </c>
      <c r="D29" s="41">
        <f>D30+D31+D32</f>
        <v>86</v>
      </c>
      <c r="E29" s="41">
        <f>E30+E31+E32</f>
        <v>0</v>
      </c>
      <c r="F29" s="41">
        <f>F30+F31+F32</f>
        <v>2990</v>
      </c>
      <c r="G29" s="42">
        <f>G30+G31+G32</f>
        <v>2992</v>
      </c>
      <c r="H29" s="23"/>
      <c r="I29" s="24"/>
      <c r="J29" s="24"/>
      <c r="IH29" s="21"/>
      <c r="II29" s="21"/>
      <c r="IJ29" s="21"/>
      <c r="IK29" s="21"/>
      <c r="IL29" s="21"/>
    </row>
    <row r="30" spans="1:246" s="20" customFormat="1" ht="15.75" customHeight="1">
      <c r="A30" s="43" t="s">
        <v>25</v>
      </c>
      <c r="B30" s="44"/>
      <c r="C30" s="45">
        <f>D30+E30+F30+G30</f>
        <v>764</v>
      </c>
      <c r="D30" s="31">
        <v>13</v>
      </c>
      <c r="E30" s="31">
        <v>0</v>
      </c>
      <c r="F30" s="31">
        <v>375</v>
      </c>
      <c r="G30" s="39">
        <v>376</v>
      </c>
      <c r="H30" s="23"/>
      <c r="I30" s="24"/>
      <c r="J30" s="24"/>
      <c r="IH30" s="21"/>
      <c r="II30" s="21"/>
      <c r="IJ30" s="21"/>
      <c r="IK30" s="21"/>
      <c r="IL30" s="21"/>
    </row>
    <row r="31" spans="1:246" s="20" customFormat="1" ht="16.5" customHeight="1">
      <c r="A31" s="35" t="s">
        <v>26</v>
      </c>
      <c r="B31" s="46"/>
      <c r="C31" s="45">
        <f>D31+E31+F31+G31</f>
        <v>4322</v>
      </c>
      <c r="D31" s="31">
        <v>72</v>
      </c>
      <c r="E31" s="31">
        <v>0</v>
      </c>
      <c r="F31" s="31">
        <v>2125</v>
      </c>
      <c r="G31" s="39">
        <v>2125</v>
      </c>
      <c r="H31" s="23"/>
      <c r="I31" s="24"/>
      <c r="J31" s="24"/>
      <c r="IH31" s="21"/>
      <c r="II31" s="21"/>
      <c r="IJ31" s="21"/>
      <c r="IK31" s="21"/>
      <c r="IL31" s="21"/>
    </row>
    <row r="32" spans="1:246" s="20" customFormat="1" ht="15.75" customHeight="1">
      <c r="A32" s="35" t="s">
        <v>27</v>
      </c>
      <c r="B32" s="47"/>
      <c r="C32" s="45">
        <f>D32+E32+F32+G32</f>
        <v>982</v>
      </c>
      <c r="D32" s="31">
        <v>1</v>
      </c>
      <c r="E32" s="31">
        <v>0</v>
      </c>
      <c r="F32" s="31">
        <v>490</v>
      </c>
      <c r="G32" s="39">
        <v>491</v>
      </c>
      <c r="H32" s="23"/>
      <c r="I32" s="24"/>
      <c r="J32" s="24"/>
      <c r="IH32" s="21"/>
      <c r="II32" s="21"/>
      <c r="IJ32" s="21"/>
      <c r="IK32" s="21"/>
      <c r="IL32" s="21"/>
    </row>
    <row r="33" spans="1:246" s="20" customFormat="1" ht="18" customHeight="1" hidden="1">
      <c r="A33" s="35"/>
      <c r="B33" s="22"/>
      <c r="C33" s="45"/>
      <c r="D33" s="31"/>
      <c r="E33" s="31"/>
      <c r="F33" s="31"/>
      <c r="G33" s="39"/>
      <c r="H33" s="23"/>
      <c r="I33" s="24"/>
      <c r="J33" s="24"/>
      <c r="IH33" s="21"/>
      <c r="II33" s="21"/>
      <c r="IJ33" s="21"/>
      <c r="IK33" s="21"/>
      <c r="IL33" s="21"/>
    </row>
    <row r="34" spans="1:246" s="20" customFormat="1" ht="18" customHeight="1" hidden="1">
      <c r="A34" s="36"/>
      <c r="B34" s="22"/>
      <c r="C34" s="40">
        <f>C35+C36+C37+C38</f>
        <v>6068</v>
      </c>
      <c r="D34" s="26">
        <f>D35+D36+D37+D38</f>
        <v>86</v>
      </c>
      <c r="E34" s="26">
        <f>E35+E36+E37+E38</f>
        <v>0</v>
      </c>
      <c r="F34" s="26">
        <f>F35+F36+F37+F38</f>
        <v>2990</v>
      </c>
      <c r="G34" s="48">
        <f>G35+G36+G37+G38</f>
        <v>2992</v>
      </c>
      <c r="H34" s="23"/>
      <c r="I34" s="24"/>
      <c r="J34" s="24"/>
      <c r="IH34" s="21"/>
      <c r="II34" s="21"/>
      <c r="IJ34" s="21"/>
      <c r="IK34" s="21"/>
      <c r="IL34" s="21"/>
    </row>
    <row r="35" spans="1:246" s="20" customFormat="1" ht="17.25" customHeight="1" hidden="1">
      <c r="A35" s="35" t="s">
        <v>28</v>
      </c>
      <c r="B35" s="22"/>
      <c r="C35" s="45">
        <f>D35+E35+F35+G35</f>
        <v>661</v>
      </c>
      <c r="D35" s="31">
        <v>11</v>
      </c>
      <c r="E35" s="31">
        <v>0</v>
      </c>
      <c r="F35" s="31">
        <v>325</v>
      </c>
      <c r="G35" s="31">
        <v>325</v>
      </c>
      <c r="H35" s="23"/>
      <c r="I35" s="24"/>
      <c r="J35" s="24"/>
      <c r="IH35" s="21"/>
      <c r="II35" s="21"/>
      <c r="IJ35" s="21"/>
      <c r="IK35" s="21"/>
      <c r="IL35" s="21"/>
    </row>
    <row r="36" spans="1:246" s="20" customFormat="1" ht="18" customHeight="1" hidden="1">
      <c r="A36" s="35" t="s">
        <v>29</v>
      </c>
      <c r="B36" s="22"/>
      <c r="C36" s="45">
        <f>D36+E36+F36+G36</f>
        <v>4322</v>
      </c>
      <c r="D36" s="31">
        <v>72</v>
      </c>
      <c r="E36" s="31">
        <v>0</v>
      </c>
      <c r="F36" s="31">
        <v>2125</v>
      </c>
      <c r="G36" s="31">
        <v>2125</v>
      </c>
      <c r="H36" s="23"/>
      <c r="I36" s="24"/>
      <c r="J36" s="23"/>
      <c r="IH36" s="21"/>
      <c r="II36" s="21"/>
      <c r="IJ36" s="21"/>
      <c r="IK36" s="21"/>
      <c r="IL36" s="21"/>
    </row>
    <row r="37" spans="1:246" s="23" customFormat="1" ht="18" customHeight="1" hidden="1">
      <c r="A37" s="49" t="s">
        <v>30</v>
      </c>
      <c r="B37" s="50"/>
      <c r="C37" s="51">
        <f>D37+E37+F37+G37</f>
        <v>0</v>
      </c>
      <c r="D37" s="31">
        <v>0</v>
      </c>
      <c r="E37" s="31">
        <v>0</v>
      </c>
      <c r="F37" s="31">
        <v>0</v>
      </c>
      <c r="G37" s="39">
        <v>0</v>
      </c>
      <c r="IH37" s="52"/>
      <c r="II37" s="52"/>
      <c r="IJ37" s="52"/>
      <c r="IK37" s="52"/>
      <c r="IL37" s="52"/>
    </row>
    <row r="38" spans="1:246" s="20" customFormat="1" ht="30" hidden="1">
      <c r="A38" s="49" t="s">
        <v>31</v>
      </c>
      <c r="B38" s="22"/>
      <c r="C38" s="45">
        <f>D38+E38+F38+G38</f>
        <v>1085</v>
      </c>
      <c r="D38" s="45">
        <v>3</v>
      </c>
      <c r="E38" s="45">
        <v>0</v>
      </c>
      <c r="F38" s="45">
        <v>540</v>
      </c>
      <c r="G38" s="45">
        <v>542</v>
      </c>
      <c r="H38" s="23"/>
      <c r="I38" s="24"/>
      <c r="J38" s="24"/>
      <c r="IH38" s="21"/>
      <c r="II38" s="21"/>
      <c r="IJ38" s="21"/>
      <c r="IK38" s="21"/>
      <c r="IL38" s="21"/>
    </row>
    <row r="39" spans="1:246" s="20" customFormat="1" ht="45" customHeight="1">
      <c r="A39" s="22" t="s">
        <v>11</v>
      </c>
      <c r="B39" s="22" t="s">
        <v>32</v>
      </c>
      <c r="C39" s="26">
        <f>C40+C41+C42</f>
        <v>5802</v>
      </c>
      <c r="D39" s="41">
        <f>D40+D41+D42</f>
        <v>1243</v>
      </c>
      <c r="E39" s="41">
        <f>E40+E41+E42</f>
        <v>1519</v>
      </c>
      <c r="F39" s="41">
        <f>F40+F41+F42</f>
        <v>1519</v>
      </c>
      <c r="G39" s="42">
        <f>G40+G41+G42</f>
        <v>1521</v>
      </c>
      <c r="H39" s="23"/>
      <c r="I39" s="24"/>
      <c r="J39" s="24"/>
      <c r="IH39" s="21"/>
      <c r="II39" s="21"/>
      <c r="IJ39" s="21"/>
      <c r="IK39" s="21"/>
      <c r="IL39" s="21"/>
    </row>
    <row r="40" spans="1:246" s="20" customFormat="1" ht="16.5" customHeight="1">
      <c r="A40" s="43" t="s">
        <v>25</v>
      </c>
      <c r="B40" s="53"/>
      <c r="C40" s="31">
        <f>D40+E40+F40+G40</f>
        <v>579</v>
      </c>
      <c r="D40" s="31">
        <v>186</v>
      </c>
      <c r="E40" s="31">
        <v>131</v>
      </c>
      <c r="F40" s="31">
        <v>131</v>
      </c>
      <c r="G40" s="39">
        <v>131</v>
      </c>
      <c r="H40" s="23"/>
      <c r="I40" s="24"/>
      <c r="J40" s="24"/>
      <c r="IH40" s="21"/>
      <c r="II40" s="21"/>
      <c r="IJ40" s="21"/>
      <c r="IK40" s="21"/>
      <c r="IL40" s="21"/>
    </row>
    <row r="41" spans="1:246" s="20" customFormat="1" ht="15.75" customHeight="1">
      <c r="A41" s="35" t="s">
        <v>26</v>
      </c>
      <c r="B41" s="54"/>
      <c r="C41" s="31">
        <f>D41+E41+F41+G41</f>
        <v>3286</v>
      </c>
      <c r="D41" s="31">
        <v>1056</v>
      </c>
      <c r="E41" s="31">
        <v>743</v>
      </c>
      <c r="F41" s="31">
        <v>743</v>
      </c>
      <c r="G41" s="39">
        <v>744</v>
      </c>
      <c r="H41" s="23"/>
      <c r="I41" s="24"/>
      <c r="J41" s="24"/>
      <c r="IH41" s="21"/>
      <c r="II41" s="21"/>
      <c r="IJ41" s="21"/>
      <c r="IK41" s="21"/>
      <c r="IL41" s="21"/>
    </row>
    <row r="42" spans="1:246" s="20" customFormat="1" ht="16.5" customHeight="1">
      <c r="A42" s="35" t="s">
        <v>27</v>
      </c>
      <c r="B42" s="55"/>
      <c r="C42" s="31">
        <f>D42+E42+F42+G42</f>
        <v>1937</v>
      </c>
      <c r="D42" s="31">
        <v>1</v>
      </c>
      <c r="E42" s="31">
        <v>645</v>
      </c>
      <c r="F42" s="31">
        <v>645</v>
      </c>
      <c r="G42" s="39">
        <v>646</v>
      </c>
      <c r="H42" s="23"/>
      <c r="I42" s="24"/>
      <c r="J42" s="24"/>
      <c r="IH42" s="21"/>
      <c r="II42" s="21"/>
      <c r="IJ42" s="21"/>
      <c r="IK42" s="21"/>
      <c r="IL42" s="21"/>
    </row>
    <row r="43" spans="1:246" s="20" customFormat="1" ht="16.5" customHeight="1" hidden="1">
      <c r="A43" s="35"/>
      <c r="B43" s="22"/>
      <c r="C43" s="31"/>
      <c r="D43" s="31"/>
      <c r="E43" s="31"/>
      <c r="F43" s="31"/>
      <c r="G43" s="39"/>
      <c r="H43" s="23"/>
      <c r="I43" s="24"/>
      <c r="J43" s="24"/>
      <c r="IH43" s="21"/>
      <c r="II43" s="21"/>
      <c r="IJ43" s="21"/>
      <c r="IK43" s="21"/>
      <c r="IL43" s="21"/>
    </row>
    <row r="44" spans="1:246" s="20" customFormat="1" ht="18" customHeight="1" hidden="1">
      <c r="A44" s="36"/>
      <c r="B44" s="22"/>
      <c r="C44" s="26">
        <f>C45+C46+C47+C48</f>
        <v>5802</v>
      </c>
      <c r="D44" s="26">
        <f>D45+D46+D47+D48</f>
        <v>1243</v>
      </c>
      <c r="E44" s="26">
        <f>E45+E46+E47+E48</f>
        <v>1519</v>
      </c>
      <c r="F44" s="26">
        <f>F45+F46+F47+F48</f>
        <v>1519</v>
      </c>
      <c r="G44" s="48">
        <f>G45+G46+G47+G48</f>
        <v>1521</v>
      </c>
      <c r="H44" s="23"/>
      <c r="I44" s="24"/>
      <c r="J44" s="24"/>
      <c r="IH44" s="21"/>
      <c r="II44" s="21"/>
      <c r="IJ44" s="21"/>
      <c r="IK44" s="21"/>
      <c r="IL44" s="21"/>
    </row>
    <row r="45" spans="1:246" s="20" customFormat="1" ht="17.25" customHeight="1" hidden="1">
      <c r="A45" s="35" t="s">
        <v>28</v>
      </c>
      <c r="B45" s="22"/>
      <c r="C45" s="45">
        <f>D45+E45+F45+G45</f>
        <v>503</v>
      </c>
      <c r="D45" s="31">
        <v>161</v>
      </c>
      <c r="E45" s="31">
        <v>114</v>
      </c>
      <c r="F45" s="31">
        <v>114</v>
      </c>
      <c r="G45" s="31">
        <v>114</v>
      </c>
      <c r="H45" s="23"/>
      <c r="I45" s="24"/>
      <c r="J45" s="24"/>
      <c r="IH45" s="21"/>
      <c r="II45" s="21"/>
      <c r="IJ45" s="21"/>
      <c r="IK45" s="21"/>
      <c r="IL45" s="21"/>
    </row>
    <row r="46" spans="1:246" s="20" customFormat="1" ht="17.25" customHeight="1" hidden="1">
      <c r="A46" s="35" t="s">
        <v>29</v>
      </c>
      <c r="B46" s="22"/>
      <c r="C46" s="45">
        <f>D46+E46+F46+G46</f>
        <v>3286</v>
      </c>
      <c r="D46" s="31">
        <v>1056</v>
      </c>
      <c r="E46" s="31">
        <v>743</v>
      </c>
      <c r="F46" s="31">
        <v>743</v>
      </c>
      <c r="G46" s="31">
        <v>744</v>
      </c>
      <c r="H46" s="23"/>
      <c r="I46" s="24"/>
      <c r="J46" s="24"/>
      <c r="IH46" s="21"/>
      <c r="II46" s="21"/>
      <c r="IJ46" s="21"/>
      <c r="IK46" s="21"/>
      <c r="IL46" s="21"/>
    </row>
    <row r="47" spans="1:246" s="20" customFormat="1" ht="18" customHeight="1" hidden="1">
      <c r="A47" s="35" t="s">
        <v>30</v>
      </c>
      <c r="B47" s="22"/>
      <c r="C47" s="51">
        <f>D47+E47+F47+G47</f>
        <v>0</v>
      </c>
      <c r="D47" s="31">
        <v>0</v>
      </c>
      <c r="E47" s="31">
        <v>0</v>
      </c>
      <c r="F47" s="31">
        <v>0</v>
      </c>
      <c r="G47" s="39">
        <v>0</v>
      </c>
      <c r="H47" s="23"/>
      <c r="I47" s="24"/>
      <c r="J47" s="24"/>
      <c r="IH47" s="21"/>
      <c r="II47" s="21"/>
      <c r="IJ47" s="21"/>
      <c r="IK47" s="21"/>
      <c r="IL47" s="21"/>
    </row>
    <row r="48" spans="1:246" s="20" customFormat="1" ht="30" hidden="1">
      <c r="A48" s="49" t="s">
        <v>31</v>
      </c>
      <c r="B48" s="22"/>
      <c r="C48" s="45">
        <f>D48+E48+F48+G48</f>
        <v>2013</v>
      </c>
      <c r="D48" s="45">
        <v>26</v>
      </c>
      <c r="E48" s="45">
        <v>662</v>
      </c>
      <c r="F48" s="45">
        <v>662</v>
      </c>
      <c r="G48" s="45">
        <v>663</v>
      </c>
      <c r="H48" s="23"/>
      <c r="I48" s="24"/>
      <c r="J48" s="24"/>
      <c r="IH48" s="21"/>
      <c r="II48" s="21"/>
      <c r="IJ48" s="21"/>
      <c r="IK48" s="21"/>
      <c r="IL48" s="21"/>
    </row>
    <row r="49" spans="1:246" s="20" customFormat="1" ht="32.25" customHeight="1">
      <c r="A49" s="22" t="s">
        <v>11</v>
      </c>
      <c r="B49" s="22" t="s">
        <v>33</v>
      </c>
      <c r="C49" s="26">
        <f>C50+C51+C52</f>
        <v>4346</v>
      </c>
      <c r="D49" s="41">
        <f>D50+D51+D52</f>
        <v>14</v>
      </c>
      <c r="E49" s="41">
        <f>E50+E51+E52</f>
        <v>1443</v>
      </c>
      <c r="F49" s="41">
        <f>F50+F51+F52</f>
        <v>1443</v>
      </c>
      <c r="G49" s="42">
        <f>G50+G51+G52</f>
        <v>1446</v>
      </c>
      <c r="H49" s="23"/>
      <c r="I49" s="24"/>
      <c r="J49" s="24"/>
      <c r="IH49" s="21"/>
      <c r="II49" s="21"/>
      <c r="IJ49" s="21"/>
      <c r="IK49" s="21"/>
      <c r="IL49" s="21"/>
    </row>
    <row r="50" spans="1:246" s="20" customFormat="1" ht="17.25" customHeight="1">
      <c r="A50" s="43" t="s">
        <v>25</v>
      </c>
      <c r="B50" s="56"/>
      <c r="C50" s="31">
        <f aca="true" t="shared" si="0" ref="C50:C58">D50+E50+F50+G50</f>
        <v>501</v>
      </c>
      <c r="D50" s="31">
        <v>2</v>
      </c>
      <c r="E50" s="31">
        <v>166</v>
      </c>
      <c r="F50" s="31">
        <v>166</v>
      </c>
      <c r="G50" s="39">
        <v>167</v>
      </c>
      <c r="H50" s="23"/>
      <c r="I50" s="24"/>
      <c r="J50" s="24"/>
      <c r="IH50" s="21"/>
      <c r="II50" s="21"/>
      <c r="IJ50" s="21"/>
      <c r="IK50" s="21"/>
      <c r="IL50" s="21"/>
    </row>
    <row r="51" spans="1:246" s="20" customFormat="1" ht="18" customHeight="1">
      <c r="A51" s="35" t="s">
        <v>26</v>
      </c>
      <c r="B51" s="57"/>
      <c r="C51" s="31">
        <f t="shared" si="0"/>
        <v>2842</v>
      </c>
      <c r="D51" s="31">
        <v>11</v>
      </c>
      <c r="E51" s="31">
        <v>943</v>
      </c>
      <c r="F51" s="31">
        <v>943</v>
      </c>
      <c r="G51" s="39">
        <v>945</v>
      </c>
      <c r="H51" s="23"/>
      <c r="I51" s="24"/>
      <c r="J51" s="24"/>
      <c r="IH51" s="21"/>
      <c r="II51" s="21"/>
      <c r="IJ51" s="21"/>
      <c r="IK51" s="21"/>
      <c r="IL51" s="21"/>
    </row>
    <row r="52" spans="1:246" s="20" customFormat="1" ht="18" customHeight="1">
      <c r="A52" s="35" t="s">
        <v>27</v>
      </c>
      <c r="B52" s="57"/>
      <c r="C52" s="31">
        <f t="shared" si="0"/>
        <v>1003</v>
      </c>
      <c r="D52" s="31">
        <v>1</v>
      </c>
      <c r="E52" s="31">
        <v>334</v>
      </c>
      <c r="F52" s="31">
        <v>334</v>
      </c>
      <c r="G52" s="39">
        <v>334</v>
      </c>
      <c r="H52" s="23"/>
      <c r="I52" s="24"/>
      <c r="J52" s="24"/>
      <c r="IH52" s="21"/>
      <c r="II52" s="21"/>
      <c r="IJ52" s="21"/>
      <c r="IK52" s="21"/>
      <c r="IL52" s="21"/>
    </row>
    <row r="53" spans="1:246" s="20" customFormat="1" ht="18.75" customHeight="1" hidden="1">
      <c r="A53" s="35"/>
      <c r="B53" s="58"/>
      <c r="C53" s="31">
        <f t="shared" si="0"/>
        <v>0</v>
      </c>
      <c r="D53" s="59"/>
      <c r="E53" s="31"/>
      <c r="F53" s="31"/>
      <c r="G53" s="39"/>
      <c r="H53" s="23"/>
      <c r="I53" s="24"/>
      <c r="J53" s="24"/>
      <c r="IH53" s="21"/>
      <c r="II53" s="21"/>
      <c r="IJ53" s="21"/>
      <c r="IK53" s="21"/>
      <c r="IL53" s="21"/>
    </row>
    <row r="54" spans="1:246" s="20" customFormat="1" ht="18" customHeight="1" hidden="1">
      <c r="A54" s="36"/>
      <c r="B54" s="22"/>
      <c r="C54" s="31">
        <f t="shared" si="0"/>
        <v>4346</v>
      </c>
      <c r="D54" s="60">
        <f>D55+D56+D57+D58</f>
        <v>14</v>
      </c>
      <c r="E54" s="60">
        <f>E55+E56+E57+E58</f>
        <v>1443</v>
      </c>
      <c r="F54" s="60">
        <f>F55+F56+F57+F58</f>
        <v>1443</v>
      </c>
      <c r="G54" s="61">
        <f>G55+G56+G57+G58</f>
        <v>1446</v>
      </c>
      <c r="H54" s="23"/>
      <c r="I54" s="24"/>
      <c r="J54" s="24"/>
      <c r="IH54" s="21"/>
      <c r="II54" s="21"/>
      <c r="IJ54" s="21"/>
      <c r="IK54" s="21"/>
      <c r="IL54" s="21"/>
    </row>
    <row r="55" spans="1:246" s="20" customFormat="1" ht="18" customHeight="1" hidden="1">
      <c r="A55" s="35" t="s">
        <v>28</v>
      </c>
      <c r="B55" s="22"/>
      <c r="C55" s="31">
        <f t="shared" si="0"/>
        <v>435</v>
      </c>
      <c r="D55" s="59">
        <v>2</v>
      </c>
      <c r="E55" s="59">
        <v>144</v>
      </c>
      <c r="F55" s="31">
        <v>144</v>
      </c>
      <c r="G55" s="59">
        <v>145</v>
      </c>
      <c r="H55" s="23"/>
      <c r="I55" s="24"/>
      <c r="J55" s="24"/>
      <c r="IH55" s="21"/>
      <c r="II55" s="21"/>
      <c r="IJ55" s="21"/>
      <c r="IK55" s="21"/>
      <c r="IL55" s="21"/>
    </row>
    <row r="56" spans="1:246" s="20" customFormat="1" ht="18" customHeight="1" hidden="1">
      <c r="A56" s="35" t="s">
        <v>29</v>
      </c>
      <c r="B56" s="22"/>
      <c r="C56" s="31">
        <f t="shared" si="0"/>
        <v>2842</v>
      </c>
      <c r="D56" s="59">
        <v>11</v>
      </c>
      <c r="E56" s="59">
        <v>943</v>
      </c>
      <c r="F56" s="59">
        <v>943</v>
      </c>
      <c r="G56" s="59">
        <v>945</v>
      </c>
      <c r="H56" s="23"/>
      <c r="I56" s="24"/>
      <c r="J56" s="24"/>
      <c r="IH56" s="21"/>
      <c r="II56" s="21"/>
      <c r="IJ56" s="21"/>
      <c r="IK56" s="21"/>
      <c r="IL56" s="21"/>
    </row>
    <row r="57" spans="1:246" s="20" customFormat="1" ht="18" customHeight="1" hidden="1">
      <c r="A57" s="35" t="s">
        <v>30</v>
      </c>
      <c r="B57" s="22"/>
      <c r="C57" s="31">
        <f t="shared" si="0"/>
        <v>0</v>
      </c>
      <c r="D57" s="59">
        <v>0</v>
      </c>
      <c r="E57" s="59">
        <v>0</v>
      </c>
      <c r="F57" s="59">
        <v>0</v>
      </c>
      <c r="G57" s="62">
        <v>0</v>
      </c>
      <c r="H57" s="23"/>
      <c r="I57" s="24"/>
      <c r="J57" s="24"/>
      <c r="IH57" s="21"/>
      <c r="II57" s="21"/>
      <c r="IJ57" s="21"/>
      <c r="IK57" s="21"/>
      <c r="IL57" s="21"/>
    </row>
    <row r="58" spans="1:246" s="20" customFormat="1" ht="30" hidden="1">
      <c r="A58" s="49" t="s">
        <v>31</v>
      </c>
      <c r="B58" s="22"/>
      <c r="C58" s="45">
        <f t="shared" si="0"/>
        <v>1069</v>
      </c>
      <c r="D58" s="51">
        <v>1</v>
      </c>
      <c r="E58" s="51">
        <v>356</v>
      </c>
      <c r="F58" s="51">
        <v>356</v>
      </c>
      <c r="G58" s="51">
        <v>356</v>
      </c>
      <c r="H58" s="28"/>
      <c r="I58" s="24"/>
      <c r="J58" s="24"/>
      <c r="IH58" s="21"/>
      <c r="II58" s="21"/>
      <c r="IJ58" s="21"/>
      <c r="IK58" s="21"/>
      <c r="IL58" s="21"/>
    </row>
    <row r="59" spans="1:246" s="20" customFormat="1" ht="31.5" customHeight="1">
      <c r="A59" s="22" t="s">
        <v>11</v>
      </c>
      <c r="B59" s="25" t="s">
        <v>34</v>
      </c>
      <c r="C59" s="26">
        <f>C60+C61+C62</f>
        <v>6812</v>
      </c>
      <c r="D59" s="41">
        <f>D60+D61+D62</f>
        <v>1612</v>
      </c>
      <c r="E59" s="41">
        <f>E60+E61+E62</f>
        <v>1750</v>
      </c>
      <c r="F59" s="41">
        <f>F60+F61+F62</f>
        <v>1496</v>
      </c>
      <c r="G59" s="41">
        <f>G60+G61+G62</f>
        <v>1954</v>
      </c>
      <c r="H59" s="28"/>
      <c r="I59" s="24"/>
      <c r="J59" s="24"/>
      <c r="IH59" s="21"/>
      <c r="II59" s="21"/>
      <c r="IJ59" s="21"/>
      <c r="IK59" s="21"/>
      <c r="IL59" s="21"/>
    </row>
    <row r="60" spans="1:246" s="20" customFormat="1" ht="18" customHeight="1">
      <c r="A60" s="43" t="s">
        <v>25</v>
      </c>
      <c r="B60" s="44"/>
      <c r="C60" s="31">
        <f aca="true" t="shared" si="1" ref="C60:C88">D60+E60+F60+G60</f>
        <v>729</v>
      </c>
      <c r="D60" s="31">
        <v>242</v>
      </c>
      <c r="E60" s="31">
        <v>263</v>
      </c>
      <c r="F60" s="31">
        <v>224</v>
      </c>
      <c r="G60" s="39">
        <v>0</v>
      </c>
      <c r="H60" s="28"/>
      <c r="I60" s="24"/>
      <c r="J60" s="24"/>
      <c r="IH60" s="21"/>
      <c r="II60" s="21"/>
      <c r="IJ60" s="21"/>
      <c r="IK60" s="21"/>
      <c r="IL60" s="21"/>
    </row>
    <row r="61" spans="1:246" s="20" customFormat="1" ht="18" customHeight="1">
      <c r="A61" s="35" t="s">
        <v>26</v>
      </c>
      <c r="B61" s="46"/>
      <c r="C61" s="31">
        <f t="shared" si="1"/>
        <v>4129</v>
      </c>
      <c r="D61" s="31">
        <v>1370</v>
      </c>
      <c r="E61" s="31">
        <v>1487</v>
      </c>
      <c r="F61" s="31">
        <v>1272</v>
      </c>
      <c r="G61" s="39">
        <v>0</v>
      </c>
      <c r="H61" s="28"/>
      <c r="I61" s="24"/>
      <c r="J61" s="24"/>
      <c r="IH61" s="21"/>
      <c r="II61" s="21"/>
      <c r="IJ61" s="21"/>
      <c r="IK61" s="21"/>
      <c r="IL61" s="21"/>
    </row>
    <row r="62" spans="1:246" s="20" customFormat="1" ht="18" customHeight="1">
      <c r="A62" s="35" t="s">
        <v>27</v>
      </c>
      <c r="B62" s="47"/>
      <c r="C62" s="31">
        <f t="shared" si="1"/>
        <v>1954</v>
      </c>
      <c r="D62" s="31">
        <v>0</v>
      </c>
      <c r="E62" s="31">
        <v>0</v>
      </c>
      <c r="F62" s="31">
        <v>0</v>
      </c>
      <c r="G62" s="39">
        <v>1954</v>
      </c>
      <c r="H62" s="28"/>
      <c r="I62" s="24"/>
      <c r="J62" s="24"/>
      <c r="IH62" s="21"/>
      <c r="II62" s="21"/>
      <c r="IJ62" s="21"/>
      <c r="IK62" s="21"/>
      <c r="IL62" s="21"/>
    </row>
    <row r="63" spans="1:246" s="20" customFormat="1" ht="18" customHeight="1" hidden="1">
      <c r="A63" s="35"/>
      <c r="B63" s="22"/>
      <c r="C63" s="31">
        <f t="shared" si="1"/>
        <v>0</v>
      </c>
      <c r="D63" s="31"/>
      <c r="E63" s="31"/>
      <c r="F63" s="31"/>
      <c r="G63" s="39"/>
      <c r="H63" s="28"/>
      <c r="I63" s="24"/>
      <c r="J63" s="24"/>
      <c r="IH63" s="21"/>
      <c r="II63" s="21"/>
      <c r="IJ63" s="21"/>
      <c r="IK63" s="21"/>
      <c r="IL63" s="21"/>
    </row>
    <row r="64" spans="1:246" s="20" customFormat="1" ht="18" customHeight="1" hidden="1">
      <c r="A64" s="36"/>
      <c r="B64" s="22"/>
      <c r="C64" s="31">
        <f t="shared" si="1"/>
        <v>6812.24</v>
      </c>
      <c r="D64" s="26">
        <f>D65+D66+D67+D68</f>
        <v>1612.24</v>
      </c>
      <c r="E64" s="26">
        <f>E65+E66+E67+E68</f>
        <v>1750</v>
      </c>
      <c r="F64" s="26">
        <f>F65+F66+F67+F68</f>
        <v>1496</v>
      </c>
      <c r="G64" s="48">
        <f>G65+G66+G67+G68</f>
        <v>1954</v>
      </c>
      <c r="H64" s="28"/>
      <c r="I64" s="24"/>
      <c r="J64" s="24"/>
      <c r="IH64" s="21"/>
      <c r="II64" s="21"/>
      <c r="IJ64" s="21"/>
      <c r="IK64" s="21"/>
      <c r="IL64" s="21"/>
    </row>
    <row r="65" spans="1:246" s="20" customFormat="1" ht="18" customHeight="1" hidden="1">
      <c r="A65" s="35" t="s">
        <v>28</v>
      </c>
      <c r="B65" s="22"/>
      <c r="C65" s="31">
        <f t="shared" si="1"/>
        <v>632</v>
      </c>
      <c r="D65" s="31">
        <v>210</v>
      </c>
      <c r="E65" s="31">
        <v>228</v>
      </c>
      <c r="F65" s="63">
        <v>194</v>
      </c>
      <c r="G65" s="39">
        <v>0</v>
      </c>
      <c r="H65" s="28"/>
      <c r="I65" s="24"/>
      <c r="J65" s="24"/>
      <c r="IH65" s="21"/>
      <c r="II65" s="21"/>
      <c r="IJ65" s="21"/>
      <c r="IK65" s="21"/>
      <c r="IL65" s="21"/>
    </row>
    <row r="66" spans="1:246" s="20" customFormat="1" ht="18" customHeight="1" hidden="1">
      <c r="A66" s="35" t="s">
        <v>29</v>
      </c>
      <c r="B66" s="22"/>
      <c r="C66" s="31">
        <f t="shared" si="1"/>
        <v>4129</v>
      </c>
      <c r="D66" s="31">
        <v>1370</v>
      </c>
      <c r="E66" s="31">
        <v>1487</v>
      </c>
      <c r="F66" s="63">
        <v>1272</v>
      </c>
      <c r="G66" s="62">
        <v>0</v>
      </c>
      <c r="H66" s="28"/>
      <c r="I66" s="24"/>
      <c r="J66" s="24"/>
      <c r="IH66" s="21"/>
      <c r="II66" s="21"/>
      <c r="IJ66" s="21"/>
      <c r="IK66" s="21"/>
      <c r="IL66" s="21"/>
    </row>
    <row r="67" spans="1:246" s="20" customFormat="1" ht="18" customHeight="1" hidden="1">
      <c r="A67" s="35" t="s">
        <v>30</v>
      </c>
      <c r="B67" s="22"/>
      <c r="C67" s="31">
        <f t="shared" si="1"/>
        <v>0</v>
      </c>
      <c r="D67" s="31">
        <v>0</v>
      </c>
      <c r="E67" s="31">
        <v>0</v>
      </c>
      <c r="F67" s="63">
        <v>0</v>
      </c>
      <c r="G67" s="39">
        <v>0</v>
      </c>
      <c r="H67" s="28"/>
      <c r="I67" s="24"/>
      <c r="J67" s="24"/>
      <c r="IH67" s="21"/>
      <c r="II67" s="21"/>
      <c r="IJ67" s="21"/>
      <c r="IK67" s="21"/>
      <c r="IL67" s="21"/>
    </row>
    <row r="68" spans="1:246" s="20" customFormat="1" ht="30.75" customHeight="1" hidden="1">
      <c r="A68" s="49" t="s">
        <v>31</v>
      </c>
      <c r="B68" s="22"/>
      <c r="C68" s="31">
        <f t="shared" si="1"/>
        <v>2051.24</v>
      </c>
      <c r="D68" s="45">
        <f>(0.02*D59)+D62</f>
        <v>32.24</v>
      </c>
      <c r="E68" s="31">
        <v>35</v>
      </c>
      <c r="F68" s="64">
        <v>30</v>
      </c>
      <c r="G68" s="39">
        <v>1954</v>
      </c>
      <c r="H68" s="28"/>
      <c r="I68" s="24"/>
      <c r="J68" s="24"/>
      <c r="IH68" s="21"/>
      <c r="II68" s="21"/>
      <c r="IJ68" s="21"/>
      <c r="IK68" s="21"/>
      <c r="IL68" s="21"/>
    </row>
    <row r="69" spans="1:246" s="20" customFormat="1" ht="33" customHeight="1">
      <c r="A69" s="22" t="s">
        <v>11</v>
      </c>
      <c r="B69" s="25" t="s">
        <v>35</v>
      </c>
      <c r="C69" s="26">
        <f t="shared" si="1"/>
        <v>11356</v>
      </c>
      <c r="D69" s="41">
        <f>D70+D71+D72</f>
        <v>2586</v>
      </c>
      <c r="E69" s="41">
        <f>E70+E71+E72</f>
        <v>3500</v>
      </c>
      <c r="F69" s="41">
        <f>F70+F71+F72</f>
        <v>1590</v>
      </c>
      <c r="G69" s="41">
        <f>G70+G71+G72</f>
        <v>3680</v>
      </c>
      <c r="H69" s="28"/>
      <c r="I69" s="24"/>
      <c r="J69" s="24"/>
      <c r="IH69" s="21"/>
      <c r="II69" s="21"/>
      <c r="IJ69" s="21"/>
      <c r="IK69" s="21"/>
      <c r="IL69" s="21"/>
    </row>
    <row r="70" spans="1:246" s="20" customFormat="1" ht="18" customHeight="1">
      <c r="A70" s="43" t="s">
        <v>25</v>
      </c>
      <c r="B70" s="44"/>
      <c r="C70" s="31">
        <f t="shared" si="1"/>
        <v>1150</v>
      </c>
      <c r="D70" s="31">
        <v>387</v>
      </c>
      <c r="E70" s="31">
        <v>525</v>
      </c>
      <c r="F70" s="31">
        <v>238</v>
      </c>
      <c r="G70" s="39">
        <v>0</v>
      </c>
      <c r="H70" s="28"/>
      <c r="I70" s="24"/>
      <c r="J70" s="24"/>
      <c r="IH70" s="21"/>
      <c r="II70" s="21"/>
      <c r="IJ70" s="21"/>
      <c r="IK70" s="21"/>
      <c r="IL70" s="21"/>
    </row>
    <row r="71" spans="1:246" s="20" customFormat="1" ht="18" customHeight="1">
      <c r="A71" s="35" t="s">
        <v>26</v>
      </c>
      <c r="B71" s="46"/>
      <c r="C71" s="31">
        <f t="shared" si="1"/>
        <v>6526</v>
      </c>
      <c r="D71" s="31">
        <v>2199</v>
      </c>
      <c r="E71" s="31">
        <v>2975</v>
      </c>
      <c r="F71" s="31">
        <v>1352</v>
      </c>
      <c r="G71" s="39">
        <v>0</v>
      </c>
      <c r="H71" s="28"/>
      <c r="I71" s="24"/>
      <c r="J71" s="24"/>
      <c r="IH71" s="21"/>
      <c r="II71" s="21"/>
      <c r="IJ71" s="21"/>
      <c r="IK71" s="21"/>
      <c r="IL71" s="21"/>
    </row>
    <row r="72" spans="1:246" s="20" customFormat="1" ht="17.25" customHeight="1">
      <c r="A72" s="35" t="s">
        <v>27</v>
      </c>
      <c r="B72" s="47"/>
      <c r="C72" s="31">
        <f t="shared" si="1"/>
        <v>3680</v>
      </c>
      <c r="D72" s="31">
        <v>0</v>
      </c>
      <c r="E72" s="31">
        <v>0</v>
      </c>
      <c r="F72" s="31">
        <v>0</v>
      </c>
      <c r="G72" s="39">
        <v>3680</v>
      </c>
      <c r="H72" s="28"/>
      <c r="I72" s="24"/>
      <c r="J72" s="24"/>
      <c r="IH72" s="21"/>
      <c r="II72" s="21"/>
      <c r="IJ72" s="21"/>
      <c r="IK72" s="21"/>
      <c r="IL72" s="21"/>
    </row>
    <row r="73" spans="1:246" s="20" customFormat="1" ht="18" customHeight="1" hidden="1">
      <c r="A73" s="35"/>
      <c r="B73" s="22"/>
      <c r="C73" s="31">
        <f t="shared" si="1"/>
        <v>0</v>
      </c>
      <c r="D73" s="31"/>
      <c r="E73" s="31"/>
      <c r="F73" s="31"/>
      <c r="G73" s="39"/>
      <c r="H73" s="28"/>
      <c r="I73" s="24"/>
      <c r="J73" s="24"/>
      <c r="IH73" s="21"/>
      <c r="II73" s="21"/>
      <c r="IJ73" s="21"/>
      <c r="IK73" s="21"/>
      <c r="IL73" s="21"/>
    </row>
    <row r="74" spans="1:246" s="20" customFormat="1" ht="18" customHeight="1" hidden="1">
      <c r="A74" s="36"/>
      <c r="B74" s="22"/>
      <c r="C74" s="31">
        <f t="shared" si="1"/>
        <v>11356</v>
      </c>
      <c r="D74" s="26">
        <f>D75+D76+D77+D78</f>
        <v>2586</v>
      </c>
      <c r="E74" s="26">
        <f>E75+E76+E77+E78</f>
        <v>3500</v>
      </c>
      <c r="F74" s="26">
        <f>F75+F76+F77+F78</f>
        <v>1590</v>
      </c>
      <c r="G74" s="48">
        <f>G75+G76+G77+G78</f>
        <v>3680</v>
      </c>
      <c r="H74" s="28"/>
      <c r="I74" s="24"/>
      <c r="J74" s="24"/>
      <c r="IH74" s="21"/>
      <c r="II74" s="21"/>
      <c r="IJ74" s="21"/>
      <c r="IK74" s="21"/>
      <c r="IL74" s="21"/>
    </row>
    <row r="75" spans="1:246" s="20" customFormat="1" ht="18" customHeight="1" hidden="1">
      <c r="A75" s="35" t="s">
        <v>28</v>
      </c>
      <c r="B75" s="22"/>
      <c r="C75" s="31">
        <f t="shared" si="1"/>
        <v>997</v>
      </c>
      <c r="D75" s="31">
        <v>335</v>
      </c>
      <c r="E75" s="31">
        <v>455</v>
      </c>
      <c r="F75" s="31">
        <v>207</v>
      </c>
      <c r="G75" s="39">
        <v>0</v>
      </c>
      <c r="H75" s="28"/>
      <c r="I75" s="24"/>
      <c r="J75" s="24"/>
      <c r="IH75" s="21"/>
      <c r="II75" s="21"/>
      <c r="IJ75" s="21"/>
      <c r="IK75" s="21"/>
      <c r="IL75" s="21"/>
    </row>
    <row r="76" spans="1:246" s="20" customFormat="1" ht="18" customHeight="1" hidden="1">
      <c r="A76" s="35" t="s">
        <v>29</v>
      </c>
      <c r="B76" s="22"/>
      <c r="C76" s="31">
        <f t="shared" si="1"/>
        <v>6526</v>
      </c>
      <c r="D76" s="31">
        <v>2199</v>
      </c>
      <c r="E76" s="31">
        <v>2975</v>
      </c>
      <c r="F76" s="31">
        <v>1352</v>
      </c>
      <c r="G76" s="39">
        <v>0</v>
      </c>
      <c r="H76" s="28"/>
      <c r="I76" s="24"/>
      <c r="J76" s="24"/>
      <c r="IH76" s="21"/>
      <c r="II76" s="21"/>
      <c r="IJ76" s="21"/>
      <c r="IK76" s="21"/>
      <c r="IL76" s="21"/>
    </row>
    <row r="77" spans="1:246" s="20" customFormat="1" ht="18" customHeight="1" hidden="1">
      <c r="A77" s="35" t="s">
        <v>30</v>
      </c>
      <c r="B77" s="22"/>
      <c r="C77" s="31">
        <f t="shared" si="1"/>
        <v>0</v>
      </c>
      <c r="D77" s="31">
        <v>0</v>
      </c>
      <c r="E77" s="31">
        <v>0</v>
      </c>
      <c r="F77" s="31">
        <v>0</v>
      </c>
      <c r="G77" s="39">
        <v>0</v>
      </c>
      <c r="H77" s="28"/>
      <c r="I77" s="24"/>
      <c r="J77" s="24"/>
      <c r="IH77" s="21"/>
      <c r="II77" s="21"/>
      <c r="IJ77" s="21"/>
      <c r="IK77" s="21"/>
      <c r="IL77" s="21"/>
    </row>
    <row r="78" spans="1:246" s="20" customFormat="1" ht="30" customHeight="1" hidden="1">
      <c r="A78" s="49" t="s">
        <v>31</v>
      </c>
      <c r="B78" s="22"/>
      <c r="C78" s="31">
        <f t="shared" si="1"/>
        <v>3833</v>
      </c>
      <c r="D78" s="31">
        <v>52</v>
      </c>
      <c r="E78" s="31">
        <v>70</v>
      </c>
      <c r="F78" s="31">
        <v>31</v>
      </c>
      <c r="G78" s="39">
        <v>3680</v>
      </c>
      <c r="H78" s="28"/>
      <c r="I78" s="24"/>
      <c r="J78" s="24"/>
      <c r="IH78" s="21"/>
      <c r="II78" s="21"/>
      <c r="IJ78" s="21"/>
      <c r="IK78" s="21"/>
      <c r="IL78" s="21"/>
    </row>
    <row r="79" spans="1:246" s="20" customFormat="1" ht="30.75" customHeight="1">
      <c r="A79" s="22" t="s">
        <v>11</v>
      </c>
      <c r="B79" s="25" t="s">
        <v>36</v>
      </c>
      <c r="C79" s="26">
        <f t="shared" si="1"/>
        <v>6378</v>
      </c>
      <c r="D79" s="41">
        <f>D80+D81+D82</f>
        <v>1530</v>
      </c>
      <c r="E79" s="41">
        <f>E80+E81+E82</f>
        <v>1450</v>
      </c>
      <c r="F79" s="41">
        <f>F80+F81+F82</f>
        <v>1413</v>
      </c>
      <c r="G79" s="42">
        <f>G80+G81+G82</f>
        <v>1985</v>
      </c>
      <c r="H79" s="28"/>
      <c r="I79" s="24"/>
      <c r="J79" s="24"/>
      <c r="IH79" s="21"/>
      <c r="II79" s="21"/>
      <c r="IJ79" s="21"/>
      <c r="IK79" s="21"/>
      <c r="IL79" s="21"/>
    </row>
    <row r="80" spans="1:246" s="20" customFormat="1" ht="16.5" customHeight="1">
      <c r="A80" s="43" t="s">
        <v>25</v>
      </c>
      <c r="B80" s="44"/>
      <c r="C80" s="31">
        <f t="shared" si="1"/>
        <v>659</v>
      </c>
      <c r="D80" s="31">
        <v>229</v>
      </c>
      <c r="E80" s="31">
        <v>218</v>
      </c>
      <c r="F80" s="31">
        <v>212</v>
      </c>
      <c r="G80" s="39">
        <v>0</v>
      </c>
      <c r="H80" s="28"/>
      <c r="I80" s="24"/>
      <c r="J80" s="24"/>
      <c r="IH80" s="21"/>
      <c r="II80" s="21"/>
      <c r="IJ80" s="21"/>
      <c r="IK80" s="21"/>
      <c r="IL80" s="21"/>
    </row>
    <row r="81" spans="1:246" s="20" customFormat="1" ht="18" customHeight="1">
      <c r="A81" s="35" t="s">
        <v>26</v>
      </c>
      <c r="B81" s="46"/>
      <c r="C81" s="31">
        <f t="shared" si="1"/>
        <v>3734</v>
      </c>
      <c r="D81" s="31">
        <v>1301</v>
      </c>
      <c r="E81" s="31">
        <v>1232</v>
      </c>
      <c r="F81" s="31">
        <v>1201</v>
      </c>
      <c r="G81" s="39">
        <v>0</v>
      </c>
      <c r="H81" s="28"/>
      <c r="I81" s="24"/>
      <c r="J81" s="24"/>
      <c r="IH81" s="21"/>
      <c r="II81" s="21"/>
      <c r="IJ81" s="21"/>
      <c r="IK81" s="21"/>
      <c r="IL81" s="21"/>
    </row>
    <row r="82" spans="1:246" s="20" customFormat="1" ht="16.5" customHeight="1">
      <c r="A82" s="35" t="s">
        <v>27</v>
      </c>
      <c r="B82" s="47"/>
      <c r="C82" s="31">
        <f t="shared" si="1"/>
        <v>1985</v>
      </c>
      <c r="D82" s="31">
        <v>0</v>
      </c>
      <c r="E82" s="31">
        <v>0</v>
      </c>
      <c r="F82" s="31">
        <v>0</v>
      </c>
      <c r="G82" s="39">
        <v>1985</v>
      </c>
      <c r="H82" s="28"/>
      <c r="I82" s="24"/>
      <c r="J82" s="24"/>
      <c r="IH82" s="21"/>
      <c r="II82" s="21"/>
      <c r="IJ82" s="21"/>
      <c r="IK82" s="21"/>
      <c r="IL82" s="21"/>
    </row>
    <row r="83" spans="1:246" s="20" customFormat="1" ht="18" customHeight="1" hidden="1">
      <c r="A83" s="35"/>
      <c r="B83" s="22"/>
      <c r="C83" s="31">
        <f t="shared" si="1"/>
        <v>0</v>
      </c>
      <c r="D83" s="31"/>
      <c r="E83" s="31"/>
      <c r="F83" s="31"/>
      <c r="G83" s="39"/>
      <c r="H83" s="28"/>
      <c r="I83" s="24"/>
      <c r="J83" s="24"/>
      <c r="IH83" s="21"/>
      <c r="II83" s="21"/>
      <c r="IJ83" s="21"/>
      <c r="IK83" s="21"/>
      <c r="IL83" s="21"/>
    </row>
    <row r="84" spans="1:246" s="20" customFormat="1" ht="18" customHeight="1" hidden="1">
      <c r="A84" s="36"/>
      <c r="B84" s="22"/>
      <c r="C84" s="31">
        <f t="shared" si="1"/>
        <v>6378</v>
      </c>
      <c r="D84" s="26">
        <f>D85+D86+D87+D88</f>
        <v>1530</v>
      </c>
      <c r="E84" s="26">
        <f>E85+E86+E87+E88</f>
        <v>1450</v>
      </c>
      <c r="F84" s="26">
        <f>F85+F86+F87+F88</f>
        <v>1413</v>
      </c>
      <c r="G84" s="48">
        <f>G85+G86+G87+G88</f>
        <v>1985</v>
      </c>
      <c r="H84" s="28"/>
      <c r="I84" s="24"/>
      <c r="J84" s="24"/>
      <c r="IH84" s="21"/>
      <c r="II84" s="21"/>
      <c r="IJ84" s="21"/>
      <c r="IK84" s="21"/>
      <c r="IL84" s="21"/>
    </row>
    <row r="85" spans="1:246" s="20" customFormat="1" ht="18" customHeight="1" hidden="1">
      <c r="A85" s="35" t="s">
        <v>28</v>
      </c>
      <c r="B85" s="22"/>
      <c r="C85" s="31">
        <f t="shared" si="1"/>
        <v>571</v>
      </c>
      <c r="D85" s="31">
        <v>199</v>
      </c>
      <c r="E85" s="31">
        <v>188</v>
      </c>
      <c r="F85" s="31">
        <v>184</v>
      </c>
      <c r="G85" s="39">
        <v>0</v>
      </c>
      <c r="H85" s="28"/>
      <c r="I85" s="24"/>
      <c r="J85" s="24"/>
      <c r="IH85" s="21"/>
      <c r="II85" s="21"/>
      <c r="IJ85" s="21"/>
      <c r="IK85" s="21"/>
      <c r="IL85" s="21"/>
    </row>
    <row r="86" spans="1:246" s="20" customFormat="1" ht="18" customHeight="1" hidden="1">
      <c r="A86" s="35" t="s">
        <v>29</v>
      </c>
      <c r="B86" s="22"/>
      <c r="C86" s="31">
        <f t="shared" si="1"/>
        <v>3734</v>
      </c>
      <c r="D86" s="31">
        <v>1301</v>
      </c>
      <c r="E86" s="31">
        <v>1232</v>
      </c>
      <c r="F86" s="31">
        <v>1201</v>
      </c>
      <c r="G86" s="39">
        <v>0</v>
      </c>
      <c r="H86" s="28"/>
      <c r="I86" s="24"/>
      <c r="J86" s="24"/>
      <c r="IH86" s="21"/>
      <c r="II86" s="21"/>
      <c r="IJ86" s="21"/>
      <c r="IK86" s="21"/>
      <c r="IL86" s="21"/>
    </row>
    <row r="87" spans="1:246" s="20" customFormat="1" ht="18" customHeight="1" hidden="1">
      <c r="A87" s="35" t="s">
        <v>30</v>
      </c>
      <c r="B87" s="22"/>
      <c r="C87" s="31">
        <f t="shared" si="1"/>
        <v>0</v>
      </c>
      <c r="D87" s="31">
        <v>0</v>
      </c>
      <c r="E87" s="31">
        <v>0</v>
      </c>
      <c r="F87" s="31">
        <v>0</v>
      </c>
      <c r="G87" s="39">
        <v>0</v>
      </c>
      <c r="H87" s="28"/>
      <c r="I87" s="24"/>
      <c r="J87" s="24"/>
      <c r="IH87" s="21"/>
      <c r="II87" s="21"/>
      <c r="IJ87" s="21"/>
      <c r="IK87" s="21"/>
      <c r="IL87" s="21"/>
    </row>
    <row r="88" spans="1:246" s="20" customFormat="1" ht="30" hidden="1">
      <c r="A88" s="49" t="s">
        <v>31</v>
      </c>
      <c r="B88" s="22"/>
      <c r="C88" s="31">
        <f t="shared" si="1"/>
        <v>2073</v>
      </c>
      <c r="D88" s="31">
        <f>D80-D85</f>
        <v>30</v>
      </c>
      <c r="E88" s="31">
        <f>E80-E85</f>
        <v>30</v>
      </c>
      <c r="F88" s="31">
        <f>F80-F85</f>
        <v>28</v>
      </c>
      <c r="G88" s="39">
        <v>1985</v>
      </c>
      <c r="H88" s="28"/>
      <c r="I88" s="24"/>
      <c r="J88" s="24"/>
      <c r="IH88" s="21"/>
      <c r="II88" s="21"/>
      <c r="IJ88" s="21"/>
      <c r="IK88" s="21"/>
      <c r="IL88" s="21"/>
    </row>
    <row r="89" spans="1:246" s="20" customFormat="1" ht="31.5" customHeight="1">
      <c r="A89" s="22" t="s">
        <v>11</v>
      </c>
      <c r="B89" s="25" t="s">
        <v>37</v>
      </c>
      <c r="C89" s="26">
        <f>C90+C91+C92</f>
        <v>6413</v>
      </c>
      <c r="D89" s="41">
        <f>D90+D91++D92</f>
        <v>1700</v>
      </c>
      <c r="E89" s="41">
        <f>E90+E91++E92</f>
        <v>2120</v>
      </c>
      <c r="F89" s="41">
        <f>F90+F91++F92</f>
        <v>2593</v>
      </c>
      <c r="G89" s="41">
        <f>G90+G91++G92</f>
        <v>0</v>
      </c>
      <c r="H89" s="28"/>
      <c r="I89" s="24"/>
      <c r="J89" s="24"/>
      <c r="IH89" s="21"/>
      <c r="II89" s="21"/>
      <c r="IJ89" s="21"/>
      <c r="IK89" s="21"/>
      <c r="IL89" s="21"/>
    </row>
    <row r="90" spans="1:246" s="20" customFormat="1" ht="18" customHeight="1">
      <c r="A90" s="43" t="s">
        <v>25</v>
      </c>
      <c r="B90" s="44"/>
      <c r="C90" s="31">
        <f>D90+E90+F90+G90</f>
        <v>572</v>
      </c>
      <c r="D90" s="31">
        <v>255</v>
      </c>
      <c r="E90" s="31">
        <v>317</v>
      </c>
      <c r="F90" s="31">
        <v>0</v>
      </c>
      <c r="G90" s="39">
        <v>0</v>
      </c>
      <c r="H90" s="28"/>
      <c r="I90" s="24"/>
      <c r="J90" s="24"/>
      <c r="IH90" s="21"/>
      <c r="II90" s="21"/>
      <c r="IJ90" s="21"/>
      <c r="IK90" s="21"/>
      <c r="IL90" s="21"/>
    </row>
    <row r="91" spans="1:246" s="20" customFormat="1" ht="15.75" customHeight="1">
      <c r="A91" s="35" t="s">
        <v>26</v>
      </c>
      <c r="B91" s="46"/>
      <c r="C91" s="31">
        <f>D91+E91+F91+G91</f>
        <v>3248</v>
      </c>
      <c r="D91" s="31">
        <v>1445</v>
      </c>
      <c r="E91" s="31">
        <v>1803</v>
      </c>
      <c r="F91" s="31">
        <v>0</v>
      </c>
      <c r="G91" s="39">
        <v>0</v>
      </c>
      <c r="H91" s="28"/>
      <c r="I91" s="24"/>
      <c r="J91" s="24"/>
      <c r="IH91" s="21"/>
      <c r="II91" s="21"/>
      <c r="IJ91" s="21"/>
      <c r="IK91" s="21"/>
      <c r="IL91" s="21"/>
    </row>
    <row r="92" spans="1:246" s="20" customFormat="1" ht="16.5" customHeight="1">
      <c r="A92" s="35" t="s">
        <v>27</v>
      </c>
      <c r="B92" s="47"/>
      <c r="C92" s="31">
        <f>D92+E92+F92+G92</f>
        <v>2593</v>
      </c>
      <c r="D92" s="31">
        <v>0</v>
      </c>
      <c r="E92" s="31">
        <v>0</v>
      </c>
      <c r="F92" s="31">
        <v>2593</v>
      </c>
      <c r="G92" s="39">
        <v>0</v>
      </c>
      <c r="H92" s="28"/>
      <c r="I92" s="24"/>
      <c r="J92" s="24"/>
      <c r="IH92" s="21"/>
      <c r="II92" s="21"/>
      <c r="IJ92" s="21"/>
      <c r="IK92" s="21"/>
      <c r="IL92" s="21"/>
    </row>
    <row r="93" spans="1:246" s="20" customFormat="1" ht="18" customHeight="1" hidden="1">
      <c r="A93" s="35"/>
      <c r="B93" s="22"/>
      <c r="C93" s="31"/>
      <c r="D93" s="31"/>
      <c r="E93" s="31"/>
      <c r="F93" s="31"/>
      <c r="G93" s="39"/>
      <c r="H93" s="28"/>
      <c r="I93" s="24"/>
      <c r="J93" s="24"/>
      <c r="IH93" s="21"/>
      <c r="II93" s="21"/>
      <c r="IJ93" s="21"/>
      <c r="IK93" s="21"/>
      <c r="IL93" s="21"/>
    </row>
    <row r="94" spans="1:246" s="20" customFormat="1" ht="18" customHeight="1" hidden="1">
      <c r="A94" s="36"/>
      <c r="B94" s="22"/>
      <c r="C94" s="26">
        <f>C95+C96+C97+C98</f>
        <v>6413</v>
      </c>
      <c r="D94" s="26">
        <f>D95+D96+D97+D98</f>
        <v>1700</v>
      </c>
      <c r="E94" s="26">
        <f>E95+E96+E97+E98</f>
        <v>2120</v>
      </c>
      <c r="F94" s="26">
        <f>F95+F96+F97+F98</f>
        <v>2593</v>
      </c>
      <c r="G94" s="26">
        <v>0</v>
      </c>
      <c r="H94" s="28"/>
      <c r="I94" s="24"/>
      <c r="J94" s="24"/>
      <c r="IH94" s="21"/>
      <c r="II94" s="21"/>
      <c r="IJ94" s="21"/>
      <c r="IK94" s="21"/>
      <c r="IL94" s="21"/>
    </row>
    <row r="95" spans="1:246" s="20" customFormat="1" ht="18" customHeight="1" hidden="1">
      <c r="A95" s="35" t="s">
        <v>28</v>
      </c>
      <c r="B95" s="22"/>
      <c r="C95" s="31">
        <f>D95+E95+F95+G95</f>
        <v>496</v>
      </c>
      <c r="D95" s="31">
        <v>221</v>
      </c>
      <c r="E95" s="31">
        <v>275</v>
      </c>
      <c r="F95" s="31">
        <v>0</v>
      </c>
      <c r="G95" s="39">
        <v>0</v>
      </c>
      <c r="H95" s="28"/>
      <c r="I95" s="24"/>
      <c r="J95" s="24"/>
      <c r="IH95" s="21"/>
      <c r="II95" s="21"/>
      <c r="IJ95" s="21"/>
      <c r="IK95" s="21"/>
      <c r="IL95" s="21"/>
    </row>
    <row r="96" spans="1:246" s="20" customFormat="1" ht="18" customHeight="1" hidden="1">
      <c r="A96" s="35" t="s">
        <v>29</v>
      </c>
      <c r="B96" s="22"/>
      <c r="C96" s="31">
        <f>D96+E96+F96+G96</f>
        <v>3248</v>
      </c>
      <c r="D96" s="31">
        <v>1445</v>
      </c>
      <c r="E96" s="31">
        <v>1803</v>
      </c>
      <c r="F96" s="31">
        <v>0</v>
      </c>
      <c r="G96" s="39">
        <v>0</v>
      </c>
      <c r="H96" s="28"/>
      <c r="I96" s="24"/>
      <c r="J96" s="24"/>
      <c r="IH96" s="21"/>
      <c r="II96" s="21"/>
      <c r="IJ96" s="21"/>
      <c r="IK96" s="21"/>
      <c r="IL96" s="21"/>
    </row>
    <row r="97" spans="1:246" s="20" customFormat="1" ht="18" customHeight="1" hidden="1">
      <c r="A97" s="35" t="s">
        <v>30</v>
      </c>
      <c r="B97" s="22"/>
      <c r="C97" s="31">
        <f>D97+E97+F97+G97</f>
        <v>0</v>
      </c>
      <c r="D97" s="31">
        <v>0</v>
      </c>
      <c r="E97" s="31">
        <v>0</v>
      </c>
      <c r="F97" s="31">
        <v>0</v>
      </c>
      <c r="G97" s="39">
        <v>0</v>
      </c>
      <c r="H97" s="28"/>
      <c r="I97" s="24"/>
      <c r="J97" s="24"/>
      <c r="IH97" s="21"/>
      <c r="II97" s="21"/>
      <c r="IJ97" s="21"/>
      <c r="IK97" s="21"/>
      <c r="IL97" s="21"/>
    </row>
    <row r="98" spans="1:246" s="20" customFormat="1" ht="30" hidden="1">
      <c r="A98" s="49" t="s">
        <v>31</v>
      </c>
      <c r="B98" s="22"/>
      <c r="C98" s="31">
        <f>D98+E98+F98+G98</f>
        <v>2669</v>
      </c>
      <c r="D98" s="31">
        <v>34</v>
      </c>
      <c r="E98" s="31">
        <v>42</v>
      </c>
      <c r="F98" s="31">
        <v>2593</v>
      </c>
      <c r="G98" s="39">
        <v>0</v>
      </c>
      <c r="H98" s="28"/>
      <c r="I98" s="24"/>
      <c r="J98" s="24"/>
      <c r="IH98" s="21"/>
      <c r="II98" s="21"/>
      <c r="IJ98" s="21"/>
      <c r="IK98" s="21"/>
      <c r="IL98" s="21"/>
    </row>
    <row r="99" spans="1:246" s="67" customFormat="1" ht="31.5" customHeight="1">
      <c r="A99" s="65" t="s">
        <v>38</v>
      </c>
      <c r="B99" s="22" t="s">
        <v>39</v>
      </c>
      <c r="C99" s="40">
        <f>(D99+E99+F99+G99)</f>
        <v>8640</v>
      </c>
      <c r="D99" s="40">
        <f>D100+D101+D102</f>
        <v>3573</v>
      </c>
      <c r="E99" s="40">
        <f>E100+E101+E102</f>
        <v>1875</v>
      </c>
      <c r="F99" s="40">
        <f>F100+F101+F102</f>
        <v>2147</v>
      </c>
      <c r="G99" s="40">
        <f>G100+G101+G102</f>
        <v>1045</v>
      </c>
      <c r="H99" s="66">
        <f>H100+H102</f>
        <v>0</v>
      </c>
      <c r="I99" s="66">
        <f>I100+I102</f>
        <v>8</v>
      </c>
      <c r="J99" s="66">
        <f>J100+J102</f>
        <v>0</v>
      </c>
      <c r="K99" s="66">
        <f>K100+K102</f>
        <v>2001</v>
      </c>
      <c r="IH99" s="68"/>
      <c r="II99" s="68"/>
      <c r="IJ99" s="68"/>
      <c r="IK99" s="68"/>
      <c r="IL99" s="68"/>
    </row>
    <row r="100" spans="1:246" s="67" customFormat="1" ht="16.5" customHeight="1">
      <c r="A100" s="43" t="s">
        <v>25</v>
      </c>
      <c r="B100" s="69"/>
      <c r="C100" s="70">
        <f>(D100+E100+F100+G100)</f>
        <v>1381</v>
      </c>
      <c r="D100" s="70">
        <v>526</v>
      </c>
      <c r="E100" s="70">
        <v>390</v>
      </c>
      <c r="F100" s="70">
        <v>315</v>
      </c>
      <c r="G100" s="70">
        <v>150</v>
      </c>
      <c r="H100" s="154"/>
      <c r="I100" s="154">
        <v>8</v>
      </c>
      <c r="J100" s="155">
        <v>0</v>
      </c>
      <c r="K100" s="155">
        <v>1994</v>
      </c>
      <c r="L100" s="4"/>
      <c r="IH100" s="68"/>
      <c r="II100" s="68"/>
      <c r="IJ100" s="68"/>
      <c r="IK100" s="68"/>
      <c r="IL100" s="68"/>
    </row>
    <row r="101" spans="1:246" s="67" customFormat="1" ht="16.5" customHeight="1">
      <c r="A101" s="35" t="s">
        <v>26</v>
      </c>
      <c r="B101" s="71"/>
      <c r="C101" s="70">
        <f>(D101+E101+F101+G101)</f>
        <v>7165</v>
      </c>
      <c r="D101" s="70">
        <f>2987+60</f>
        <v>3047</v>
      </c>
      <c r="E101" s="70">
        <f>2210-725</f>
        <v>1485</v>
      </c>
      <c r="F101" s="70">
        <v>1785</v>
      </c>
      <c r="G101" s="70">
        <v>848</v>
      </c>
      <c r="H101" s="154"/>
      <c r="I101" s="154"/>
      <c r="J101" s="154"/>
      <c r="K101" s="155"/>
      <c r="IH101" s="68"/>
      <c r="II101" s="68"/>
      <c r="IJ101" s="68"/>
      <c r="IK101" s="68"/>
      <c r="IL101" s="68"/>
    </row>
    <row r="102" spans="1:246" s="67" customFormat="1" ht="25.5" customHeight="1">
      <c r="A102" s="35" t="s">
        <v>27</v>
      </c>
      <c r="B102" s="72"/>
      <c r="C102" s="70">
        <f>(D102+E102+F102+G102)</f>
        <v>94</v>
      </c>
      <c r="D102" s="70">
        <f>H102</f>
        <v>0</v>
      </c>
      <c r="E102" s="70"/>
      <c r="F102" s="70">
        <v>47</v>
      </c>
      <c r="G102" s="70">
        <v>47</v>
      </c>
      <c r="H102" s="66"/>
      <c r="I102" s="66"/>
      <c r="J102" s="66">
        <v>0</v>
      </c>
      <c r="K102" s="67">
        <v>7</v>
      </c>
      <c r="IH102" s="68"/>
      <c r="II102" s="68"/>
      <c r="IJ102" s="68"/>
      <c r="IK102" s="68"/>
      <c r="IL102" s="68"/>
    </row>
    <row r="103" spans="1:246" s="67" customFormat="1" ht="16.5" customHeight="1" hidden="1">
      <c r="A103" s="35"/>
      <c r="B103" s="73"/>
      <c r="C103" s="70"/>
      <c r="D103" s="70"/>
      <c r="E103" s="70"/>
      <c r="F103" s="70"/>
      <c r="G103" s="70"/>
      <c r="H103" s="74"/>
      <c r="I103" s="75"/>
      <c r="J103" s="75"/>
      <c r="IH103" s="68"/>
      <c r="II103" s="68"/>
      <c r="IJ103" s="68"/>
      <c r="IK103" s="68"/>
      <c r="IL103" s="68"/>
    </row>
    <row r="104" spans="1:246" s="79" customFormat="1" ht="16.5" customHeight="1" hidden="1">
      <c r="A104" s="36"/>
      <c r="B104" s="25"/>
      <c r="C104" s="76">
        <f>C105+C106+C107+C109+C108</f>
        <v>8640</v>
      </c>
      <c r="D104" s="76">
        <f>D105+D106+D107+D109+D108</f>
        <v>3573</v>
      </c>
      <c r="E104" s="76">
        <f>E105+E106+E107+E109+E108</f>
        <v>1875</v>
      </c>
      <c r="F104" s="76">
        <f>F105+F106+F107+F109+F108</f>
        <v>2147</v>
      </c>
      <c r="G104" s="76">
        <f>G105+G106+G107+G109+G108</f>
        <v>1045</v>
      </c>
      <c r="H104" s="77"/>
      <c r="I104" s="78"/>
      <c r="J104" s="78"/>
      <c r="IH104" s="80"/>
      <c r="II104" s="80"/>
      <c r="IJ104" s="80"/>
      <c r="IK104" s="80"/>
      <c r="IL104" s="80"/>
    </row>
    <row r="105" spans="1:246" s="67" customFormat="1" ht="16.5" customHeight="1" hidden="1">
      <c r="A105" s="35" t="s">
        <v>28</v>
      </c>
      <c r="B105" s="73"/>
      <c r="C105" s="81">
        <f aca="true" t="shared" si="2" ref="C105:C144">D105+E105+F105+G105</f>
        <v>1103</v>
      </c>
      <c r="D105" s="81">
        <f>0</f>
        <v>0</v>
      </c>
      <c r="E105" s="81">
        <f>E99-E106-E109</f>
        <v>703</v>
      </c>
      <c r="F105" s="81">
        <f>F99-F106-F109</f>
        <v>271</v>
      </c>
      <c r="G105" s="81">
        <f>G99-G106-G109</f>
        <v>129</v>
      </c>
      <c r="H105" s="74"/>
      <c r="I105" s="75"/>
      <c r="J105" s="75"/>
      <c r="IH105" s="68"/>
      <c r="II105" s="68"/>
      <c r="IJ105" s="68"/>
      <c r="IK105" s="68"/>
      <c r="IL105" s="68"/>
    </row>
    <row r="106" spans="1:246" s="67" customFormat="1" ht="16.5" customHeight="1" hidden="1">
      <c r="A106" s="35" t="s">
        <v>29</v>
      </c>
      <c r="B106" s="73"/>
      <c r="C106" s="81">
        <f t="shared" si="2"/>
        <v>3750</v>
      </c>
      <c r="D106" s="81">
        <v>0</v>
      </c>
      <c r="E106" s="81">
        <v>1117</v>
      </c>
      <c r="F106" s="81">
        <f>F101</f>
        <v>1785</v>
      </c>
      <c r="G106" s="81">
        <f>G101</f>
        <v>848</v>
      </c>
      <c r="H106" s="74"/>
      <c r="I106" s="75"/>
      <c r="J106" s="75"/>
      <c r="IH106" s="68"/>
      <c r="II106" s="68"/>
      <c r="IJ106" s="68"/>
      <c r="IK106" s="68"/>
      <c r="IL106" s="68"/>
    </row>
    <row r="107" spans="1:246" s="67" customFormat="1" ht="16.5" customHeight="1" hidden="1">
      <c r="A107" s="35" t="s">
        <v>30</v>
      </c>
      <c r="B107" s="73"/>
      <c r="C107" s="81">
        <f t="shared" si="2"/>
        <v>0</v>
      </c>
      <c r="D107" s="81"/>
      <c r="E107" s="81"/>
      <c r="F107" s="81"/>
      <c r="G107" s="81"/>
      <c r="H107" s="74"/>
      <c r="I107" s="75"/>
      <c r="J107" s="75"/>
      <c r="IH107" s="68"/>
      <c r="II107" s="68"/>
      <c r="IJ107" s="68"/>
      <c r="IK107" s="68"/>
      <c r="IL107" s="68"/>
    </row>
    <row r="108" spans="1:246" s="67" customFormat="1" ht="16.5" customHeight="1" hidden="1">
      <c r="A108" s="35" t="s">
        <v>40</v>
      </c>
      <c r="B108" s="73"/>
      <c r="C108" s="81">
        <f t="shared" si="2"/>
        <v>3513</v>
      </c>
      <c r="D108" s="81">
        <v>3513</v>
      </c>
      <c r="E108" s="81"/>
      <c r="F108" s="81"/>
      <c r="G108" s="81"/>
      <c r="H108" s="74"/>
      <c r="I108" s="75"/>
      <c r="J108" s="75"/>
      <c r="IH108" s="68"/>
      <c r="II108" s="68"/>
      <c r="IJ108" s="68"/>
      <c r="IK108" s="68"/>
      <c r="IL108" s="68"/>
    </row>
    <row r="109" spans="1:246" s="83" customFormat="1" ht="30" hidden="1">
      <c r="A109" s="49" t="s">
        <v>31</v>
      </c>
      <c r="B109" s="82"/>
      <c r="C109" s="81">
        <f t="shared" si="2"/>
        <v>274</v>
      </c>
      <c r="D109" s="81">
        <v>60</v>
      </c>
      <c r="E109" s="81">
        <v>55</v>
      </c>
      <c r="F109" s="81">
        <f>F102+44</f>
        <v>91</v>
      </c>
      <c r="G109" s="81">
        <f>G102+21</f>
        <v>68</v>
      </c>
      <c r="H109" s="74"/>
      <c r="I109" s="74"/>
      <c r="J109" s="74"/>
      <c r="IH109" s="84"/>
      <c r="II109" s="84"/>
      <c r="IJ109" s="84"/>
      <c r="IK109" s="84"/>
      <c r="IL109" s="84"/>
    </row>
    <row r="110" spans="1:246" s="67" customFormat="1" ht="46.5" customHeight="1">
      <c r="A110" s="65" t="s">
        <v>38</v>
      </c>
      <c r="B110" s="22" t="s">
        <v>41</v>
      </c>
      <c r="C110" s="40">
        <f t="shared" si="2"/>
        <v>3233</v>
      </c>
      <c r="D110" s="40">
        <f>D111+D112+D113</f>
        <v>2000</v>
      </c>
      <c r="E110" s="40">
        <f>E111+E112+E113</f>
        <v>600</v>
      </c>
      <c r="F110" s="40">
        <f>F111+F112+F113</f>
        <v>500</v>
      </c>
      <c r="G110" s="40">
        <f>G111+G112+G113</f>
        <v>133</v>
      </c>
      <c r="H110" s="85">
        <f>H111+H113</f>
        <v>0</v>
      </c>
      <c r="I110" s="85">
        <f>I111+I113</f>
        <v>8</v>
      </c>
      <c r="J110" s="85">
        <f>J111+J113</f>
        <v>0</v>
      </c>
      <c r="K110" s="85">
        <f>K111+K113</f>
        <v>645</v>
      </c>
      <c r="IH110" s="68"/>
      <c r="II110" s="68"/>
      <c r="IJ110" s="68"/>
      <c r="IK110" s="68"/>
      <c r="IL110" s="68"/>
    </row>
    <row r="111" spans="1:246" s="67" customFormat="1" ht="16.5" customHeight="1">
      <c r="A111" s="43" t="s">
        <v>25</v>
      </c>
      <c r="B111" s="44"/>
      <c r="C111" s="45">
        <f t="shared" si="2"/>
        <v>485</v>
      </c>
      <c r="D111" s="81">
        <v>300</v>
      </c>
      <c r="E111" s="70">
        <v>90</v>
      </c>
      <c r="F111" s="70">
        <v>75</v>
      </c>
      <c r="G111" s="70">
        <v>20</v>
      </c>
      <c r="H111" s="152"/>
      <c r="I111" s="152">
        <v>8</v>
      </c>
      <c r="J111" s="153">
        <v>0</v>
      </c>
      <c r="K111" s="153">
        <v>643</v>
      </c>
      <c r="IH111" s="68"/>
      <c r="II111" s="68"/>
      <c r="IJ111" s="68"/>
      <c r="IK111" s="68"/>
      <c r="IL111" s="68"/>
    </row>
    <row r="112" spans="1:246" s="67" customFormat="1" ht="16.5" customHeight="1">
      <c r="A112" s="35" t="s">
        <v>26</v>
      </c>
      <c r="B112" s="46"/>
      <c r="C112" s="45">
        <f t="shared" si="2"/>
        <v>2744</v>
      </c>
      <c r="D112" s="81">
        <v>1699</v>
      </c>
      <c r="E112" s="70">
        <v>509</v>
      </c>
      <c r="F112" s="81">
        <v>424</v>
      </c>
      <c r="G112" s="70">
        <v>112</v>
      </c>
      <c r="H112" s="152"/>
      <c r="I112" s="152"/>
      <c r="J112" s="152"/>
      <c r="K112" s="153"/>
      <c r="IH112" s="68"/>
      <c r="II112" s="68"/>
      <c r="IJ112" s="68"/>
      <c r="IK112" s="68"/>
      <c r="IL112" s="68"/>
    </row>
    <row r="113" spans="1:246" s="67" customFormat="1" ht="16.5" customHeight="1">
      <c r="A113" s="35" t="s">
        <v>27</v>
      </c>
      <c r="B113" s="47"/>
      <c r="C113" s="45">
        <f t="shared" si="2"/>
        <v>4</v>
      </c>
      <c r="D113" s="70">
        <v>1</v>
      </c>
      <c r="E113" s="70">
        <v>1</v>
      </c>
      <c r="F113" s="70">
        <v>1</v>
      </c>
      <c r="G113" s="70">
        <v>1</v>
      </c>
      <c r="H113" s="85"/>
      <c r="I113" s="85"/>
      <c r="J113" s="85">
        <v>0</v>
      </c>
      <c r="K113" s="86">
        <v>2</v>
      </c>
      <c r="IH113" s="68"/>
      <c r="II113" s="68"/>
      <c r="IJ113" s="68"/>
      <c r="IK113" s="68"/>
      <c r="IL113" s="68"/>
    </row>
    <row r="114" spans="1:246" s="67" customFormat="1" ht="16.5" customHeight="1" hidden="1">
      <c r="A114" s="35"/>
      <c r="B114" s="73"/>
      <c r="C114" s="45">
        <f t="shared" si="2"/>
        <v>0</v>
      </c>
      <c r="D114" s="70"/>
      <c r="E114" s="70"/>
      <c r="F114" s="70"/>
      <c r="G114" s="70"/>
      <c r="H114" s="87"/>
      <c r="I114" s="88"/>
      <c r="J114" s="88"/>
      <c r="K114" s="86"/>
      <c r="IH114" s="68"/>
      <c r="II114" s="68"/>
      <c r="IJ114" s="68"/>
      <c r="IK114" s="68"/>
      <c r="IL114" s="68"/>
    </row>
    <row r="115" spans="1:246" s="79" customFormat="1" ht="16.5" customHeight="1" hidden="1">
      <c r="A115" s="36"/>
      <c r="B115" s="25"/>
      <c r="C115" s="40">
        <f t="shared" si="2"/>
        <v>3233</v>
      </c>
      <c r="D115" s="76">
        <f>D116+D117+D118+D120+D119</f>
        <v>2000</v>
      </c>
      <c r="E115" s="76">
        <f>E116+E117+E118+E120+E119</f>
        <v>600</v>
      </c>
      <c r="F115" s="76">
        <f>F116+F117+F118+F120+F119</f>
        <v>500</v>
      </c>
      <c r="G115" s="76">
        <f>G116+G117+G118+G119+G120</f>
        <v>133</v>
      </c>
      <c r="H115" s="89"/>
      <c r="I115" s="90"/>
      <c r="J115" s="90"/>
      <c r="K115" s="91"/>
      <c r="IH115" s="80"/>
      <c r="II115" s="80"/>
      <c r="IJ115" s="80"/>
      <c r="IK115" s="80"/>
      <c r="IL115" s="80"/>
    </row>
    <row r="116" spans="1:246" s="67" customFormat="1" ht="16.5" customHeight="1" hidden="1">
      <c r="A116" s="35" t="s">
        <v>28</v>
      </c>
      <c r="B116" s="73"/>
      <c r="C116" s="45">
        <f t="shared" si="2"/>
        <v>420</v>
      </c>
      <c r="D116" s="81">
        <v>260</v>
      </c>
      <c r="E116" s="81">
        <v>78</v>
      </c>
      <c r="F116" s="81">
        <v>65</v>
      </c>
      <c r="G116" s="81">
        <v>17</v>
      </c>
      <c r="H116" s="87"/>
      <c r="I116" s="88"/>
      <c r="J116" s="88"/>
      <c r="K116" s="86"/>
      <c r="IH116" s="68"/>
      <c r="II116" s="68"/>
      <c r="IJ116" s="68"/>
      <c r="IK116" s="68"/>
      <c r="IL116" s="68"/>
    </row>
    <row r="117" spans="1:246" s="67" customFormat="1" ht="16.5" customHeight="1" hidden="1">
      <c r="A117" s="35" t="s">
        <v>29</v>
      </c>
      <c r="B117" s="73"/>
      <c r="C117" s="45">
        <f t="shared" si="2"/>
        <v>1609</v>
      </c>
      <c r="D117" s="81">
        <v>564</v>
      </c>
      <c r="E117" s="81">
        <v>509</v>
      </c>
      <c r="F117" s="81">
        <v>424</v>
      </c>
      <c r="G117" s="81">
        <v>112</v>
      </c>
      <c r="H117" s="87"/>
      <c r="I117" s="88"/>
      <c r="J117" s="88"/>
      <c r="K117" s="86"/>
      <c r="IH117" s="68"/>
      <c r="II117" s="68"/>
      <c r="IJ117" s="68"/>
      <c r="IK117" s="68"/>
      <c r="IL117" s="68"/>
    </row>
    <row r="118" spans="1:246" s="67" customFormat="1" ht="16.5" customHeight="1" hidden="1">
      <c r="A118" s="35" t="s">
        <v>30</v>
      </c>
      <c r="B118" s="73" t="s">
        <v>42</v>
      </c>
      <c r="C118" s="45">
        <f t="shared" si="2"/>
        <v>0</v>
      </c>
      <c r="D118" s="81">
        <v>0</v>
      </c>
      <c r="E118" s="81">
        <v>0</v>
      </c>
      <c r="F118" s="81">
        <v>0</v>
      </c>
      <c r="G118" s="81">
        <v>0</v>
      </c>
      <c r="H118" s="87"/>
      <c r="I118" s="88"/>
      <c r="J118" s="88"/>
      <c r="K118" s="86"/>
      <c r="IH118" s="68"/>
      <c r="II118" s="68"/>
      <c r="IJ118" s="68"/>
      <c r="IK118" s="68"/>
      <c r="IL118" s="68"/>
    </row>
    <row r="119" spans="1:246" s="67" customFormat="1" ht="16.5" customHeight="1" hidden="1">
      <c r="A119" s="35" t="s">
        <v>40</v>
      </c>
      <c r="B119" s="73" t="s">
        <v>42</v>
      </c>
      <c r="C119" s="45">
        <f t="shared" si="2"/>
        <v>1135</v>
      </c>
      <c r="D119" s="81">
        <v>1135</v>
      </c>
      <c r="E119" s="81">
        <v>0</v>
      </c>
      <c r="F119" s="81">
        <v>0</v>
      </c>
      <c r="G119" s="81">
        <v>0</v>
      </c>
      <c r="H119" s="87"/>
      <c r="I119" s="88"/>
      <c r="J119" s="88"/>
      <c r="K119" s="86"/>
      <c r="IH119" s="68"/>
      <c r="II119" s="68"/>
      <c r="IJ119" s="68"/>
      <c r="IK119" s="68"/>
      <c r="IL119" s="68"/>
    </row>
    <row r="120" spans="1:246" s="83" customFormat="1" ht="32.25" customHeight="1" hidden="1">
      <c r="A120" s="49" t="s">
        <v>31</v>
      </c>
      <c r="B120" s="82"/>
      <c r="C120" s="45">
        <f t="shared" si="2"/>
        <v>69</v>
      </c>
      <c r="D120" s="81">
        <v>41</v>
      </c>
      <c r="E120" s="81">
        <v>13</v>
      </c>
      <c r="F120" s="81">
        <v>11</v>
      </c>
      <c r="G120" s="81">
        <v>4</v>
      </c>
      <c r="H120" s="87"/>
      <c r="I120" s="87"/>
      <c r="J120" s="87"/>
      <c r="K120" s="92"/>
      <c r="IH120" s="84"/>
      <c r="II120" s="84"/>
      <c r="IJ120" s="84"/>
      <c r="IK120" s="84"/>
      <c r="IL120" s="84"/>
    </row>
    <row r="121" spans="1:246" s="83" customFormat="1" ht="15" customHeight="1" hidden="1">
      <c r="A121" s="93" t="s">
        <v>43</v>
      </c>
      <c r="B121" s="94" t="s">
        <v>44</v>
      </c>
      <c r="C121" s="40">
        <f t="shared" si="2"/>
        <v>0</v>
      </c>
      <c r="D121" s="95">
        <f>D122+D123+D124</f>
        <v>0</v>
      </c>
      <c r="E121" s="95">
        <f>E122+E123+E124</f>
        <v>0</v>
      </c>
      <c r="F121" s="95">
        <f>F122+F123+F124</f>
        <v>0</v>
      </c>
      <c r="G121" s="95">
        <f>G122+G123+G124</f>
        <v>0</v>
      </c>
      <c r="H121" s="87"/>
      <c r="I121" s="87"/>
      <c r="J121" s="87"/>
      <c r="K121" s="92"/>
      <c r="IH121" s="84"/>
      <c r="II121" s="84"/>
      <c r="IJ121" s="84"/>
      <c r="IK121" s="84"/>
      <c r="IL121" s="84"/>
    </row>
    <row r="122" spans="1:246" s="83" customFormat="1" ht="16.5" customHeight="1" hidden="1">
      <c r="A122" s="43" t="s">
        <v>25</v>
      </c>
      <c r="B122" s="96"/>
      <c r="C122" s="40">
        <f t="shared" si="2"/>
        <v>0</v>
      </c>
      <c r="D122" s="81">
        <v>0</v>
      </c>
      <c r="E122" s="81">
        <v>0</v>
      </c>
      <c r="F122" s="81">
        <v>0</v>
      </c>
      <c r="G122" s="81">
        <v>0</v>
      </c>
      <c r="H122" s="87"/>
      <c r="I122" s="87"/>
      <c r="J122" s="87"/>
      <c r="K122" s="92"/>
      <c r="IH122" s="84"/>
      <c r="II122" s="84"/>
      <c r="IJ122" s="84"/>
      <c r="IK122" s="84"/>
      <c r="IL122" s="84"/>
    </row>
    <row r="123" spans="1:246" s="83" customFormat="1" ht="16.5" customHeight="1" hidden="1">
      <c r="A123" s="35" t="s">
        <v>26</v>
      </c>
      <c r="B123" s="97"/>
      <c r="C123" s="40">
        <f t="shared" si="2"/>
        <v>0</v>
      </c>
      <c r="D123" s="81">
        <v>0</v>
      </c>
      <c r="E123" s="81">
        <v>0</v>
      </c>
      <c r="F123" s="81">
        <v>0</v>
      </c>
      <c r="G123" s="81">
        <v>0</v>
      </c>
      <c r="H123" s="87"/>
      <c r="I123" s="87"/>
      <c r="J123" s="87"/>
      <c r="K123" s="92"/>
      <c r="IH123" s="84"/>
      <c r="II123" s="84"/>
      <c r="IJ123" s="84"/>
      <c r="IK123" s="84"/>
      <c r="IL123" s="84"/>
    </row>
    <row r="124" spans="1:246" s="83" customFormat="1" ht="16.5" customHeight="1" hidden="1">
      <c r="A124" s="35" t="s">
        <v>27</v>
      </c>
      <c r="B124" s="97"/>
      <c r="C124" s="40">
        <f t="shared" si="2"/>
        <v>0</v>
      </c>
      <c r="D124" s="81">
        <v>0</v>
      </c>
      <c r="E124" s="81">
        <v>0</v>
      </c>
      <c r="F124" s="81">
        <v>0</v>
      </c>
      <c r="G124" s="81">
        <v>0</v>
      </c>
      <c r="H124" s="87"/>
      <c r="I124" s="87"/>
      <c r="J124" s="87"/>
      <c r="K124" s="92"/>
      <c r="IH124" s="84"/>
      <c r="II124" s="84"/>
      <c r="IJ124" s="84"/>
      <c r="IK124" s="84"/>
      <c r="IL124" s="84"/>
    </row>
    <row r="125" spans="1:246" s="83" customFormat="1" ht="16.5" customHeight="1" hidden="1">
      <c r="A125" s="49"/>
      <c r="B125" s="98"/>
      <c r="C125" s="40">
        <f t="shared" si="2"/>
        <v>0</v>
      </c>
      <c r="D125" s="81"/>
      <c r="E125" s="81"/>
      <c r="F125" s="81"/>
      <c r="G125" s="81"/>
      <c r="H125" s="87"/>
      <c r="I125" s="87"/>
      <c r="J125" s="87"/>
      <c r="K125" s="92"/>
      <c r="IH125" s="84"/>
      <c r="II125" s="84"/>
      <c r="IJ125" s="84"/>
      <c r="IK125" s="84"/>
      <c r="IL125" s="84"/>
    </row>
    <row r="126" spans="1:246" s="83" customFormat="1" ht="16.5" customHeight="1" hidden="1">
      <c r="A126" s="49"/>
      <c r="B126" s="82"/>
      <c r="C126" s="40">
        <f t="shared" si="2"/>
        <v>0</v>
      </c>
      <c r="D126" s="95">
        <f>D127+D128+D129+D130</f>
        <v>0</v>
      </c>
      <c r="E126" s="95">
        <f>E127+E128+E129+E130</f>
        <v>0</v>
      </c>
      <c r="F126" s="95">
        <f>F127+F128+F129+F130</f>
        <v>0</v>
      </c>
      <c r="G126" s="95">
        <f>G127+G128+G129+G130</f>
        <v>0</v>
      </c>
      <c r="H126" s="87"/>
      <c r="I126" s="87"/>
      <c r="J126" s="87"/>
      <c r="K126" s="92"/>
      <c r="IH126" s="84"/>
      <c r="II126" s="84"/>
      <c r="IJ126" s="84"/>
      <c r="IK126" s="84"/>
      <c r="IL126" s="84"/>
    </row>
    <row r="127" spans="1:246" s="83" customFormat="1" ht="16.5" customHeight="1" hidden="1">
      <c r="A127" s="49" t="s">
        <v>28</v>
      </c>
      <c r="B127" s="82"/>
      <c r="C127" s="40">
        <f t="shared" si="2"/>
        <v>0</v>
      </c>
      <c r="D127" s="81">
        <v>0</v>
      </c>
      <c r="E127" s="81">
        <v>0</v>
      </c>
      <c r="F127" s="81">
        <v>0</v>
      </c>
      <c r="G127" s="81">
        <v>0</v>
      </c>
      <c r="H127" s="87"/>
      <c r="I127" s="87"/>
      <c r="J127" s="87"/>
      <c r="K127" s="92"/>
      <c r="IH127" s="84"/>
      <c r="II127" s="84"/>
      <c r="IJ127" s="84"/>
      <c r="IK127" s="84"/>
      <c r="IL127" s="84"/>
    </row>
    <row r="128" spans="1:246" s="83" customFormat="1" ht="16.5" customHeight="1" hidden="1">
      <c r="A128" s="49" t="s">
        <v>29</v>
      </c>
      <c r="B128" s="82"/>
      <c r="C128" s="40">
        <f t="shared" si="2"/>
        <v>0</v>
      </c>
      <c r="D128" s="81">
        <v>0</v>
      </c>
      <c r="E128" s="81">
        <v>0</v>
      </c>
      <c r="F128" s="81">
        <v>0</v>
      </c>
      <c r="G128" s="81">
        <v>0</v>
      </c>
      <c r="H128" s="87"/>
      <c r="I128" s="87"/>
      <c r="J128" s="87"/>
      <c r="K128" s="92"/>
      <c r="IH128" s="84"/>
      <c r="II128" s="84"/>
      <c r="IJ128" s="84"/>
      <c r="IK128" s="84"/>
      <c r="IL128" s="84"/>
    </row>
    <row r="129" spans="1:246" s="83" customFormat="1" ht="16.5" customHeight="1" hidden="1">
      <c r="A129" s="49" t="s">
        <v>30</v>
      </c>
      <c r="B129" s="82"/>
      <c r="C129" s="40">
        <f t="shared" si="2"/>
        <v>0</v>
      </c>
      <c r="D129" s="81">
        <v>0</v>
      </c>
      <c r="E129" s="81">
        <v>0</v>
      </c>
      <c r="F129" s="81">
        <v>0</v>
      </c>
      <c r="G129" s="81">
        <v>0</v>
      </c>
      <c r="H129" s="87"/>
      <c r="I129" s="87"/>
      <c r="J129" s="87"/>
      <c r="K129" s="92"/>
      <c r="IH129" s="84"/>
      <c r="II129" s="84"/>
      <c r="IJ129" s="84"/>
      <c r="IK129" s="84"/>
      <c r="IL129" s="84"/>
    </row>
    <row r="130" spans="1:246" s="83" customFormat="1" ht="29.25" customHeight="1" hidden="1">
      <c r="A130" s="49" t="s">
        <v>31</v>
      </c>
      <c r="B130" s="82"/>
      <c r="C130" s="40">
        <f t="shared" si="2"/>
        <v>0</v>
      </c>
      <c r="D130" s="81">
        <v>0</v>
      </c>
      <c r="E130" s="81">
        <v>0</v>
      </c>
      <c r="F130" s="81">
        <v>0</v>
      </c>
      <c r="G130" s="81">
        <v>0</v>
      </c>
      <c r="H130" s="87"/>
      <c r="I130" s="87"/>
      <c r="J130" s="87"/>
      <c r="K130" s="92"/>
      <c r="IH130" s="84"/>
      <c r="II130" s="84"/>
      <c r="IJ130" s="84"/>
      <c r="IK130" s="84"/>
      <c r="IL130" s="84"/>
    </row>
    <row r="131" spans="1:246" s="67" customFormat="1" ht="31.5" customHeight="1">
      <c r="A131" s="99" t="s">
        <v>43</v>
      </c>
      <c r="B131" s="22" t="s">
        <v>45</v>
      </c>
      <c r="C131" s="40">
        <f t="shared" si="2"/>
        <v>40421</v>
      </c>
      <c r="D131" s="40">
        <f>SUM(D132:D134)</f>
        <v>20210</v>
      </c>
      <c r="E131" s="40">
        <f>SUM(E132:E134)</f>
        <v>20211</v>
      </c>
      <c r="F131" s="40">
        <f>SUM(F132:F134)</f>
        <v>0</v>
      </c>
      <c r="G131" s="40">
        <f>SUM(G132:G134)</f>
        <v>0</v>
      </c>
      <c r="H131" s="74"/>
      <c r="I131" s="75"/>
      <c r="J131" s="75"/>
      <c r="IH131" s="68"/>
      <c r="II131" s="68"/>
      <c r="IJ131" s="68"/>
      <c r="IK131" s="68"/>
      <c r="IL131" s="68"/>
    </row>
    <row r="132" spans="1:246" s="67" customFormat="1" ht="16.5" customHeight="1">
      <c r="A132" s="43" t="s">
        <v>25</v>
      </c>
      <c r="B132" s="69"/>
      <c r="C132" s="45">
        <f t="shared" si="2"/>
        <v>0</v>
      </c>
      <c r="D132" s="70">
        <v>0</v>
      </c>
      <c r="E132" s="70">
        <v>0</v>
      </c>
      <c r="F132" s="70">
        <v>0</v>
      </c>
      <c r="G132" s="70">
        <v>0</v>
      </c>
      <c r="H132" s="74"/>
      <c r="I132" s="75"/>
      <c r="J132" s="75"/>
      <c r="IH132" s="68"/>
      <c r="II132" s="68"/>
      <c r="IJ132" s="68"/>
      <c r="IK132" s="68"/>
      <c r="IL132" s="68"/>
    </row>
    <row r="133" spans="1:246" s="67" customFormat="1" ht="16.5" customHeight="1">
      <c r="A133" s="35" t="s">
        <v>26</v>
      </c>
      <c r="B133" s="71"/>
      <c r="C133" s="45">
        <f t="shared" si="2"/>
        <v>40421</v>
      </c>
      <c r="D133" s="70">
        <v>20210</v>
      </c>
      <c r="E133" s="70">
        <v>20211</v>
      </c>
      <c r="F133" s="70">
        <v>0</v>
      </c>
      <c r="G133" s="70">
        <v>0</v>
      </c>
      <c r="H133" s="74"/>
      <c r="I133" s="75"/>
      <c r="J133" s="75"/>
      <c r="IH133" s="68"/>
      <c r="II133" s="68"/>
      <c r="IJ133" s="68"/>
      <c r="IK133" s="68"/>
      <c r="IL133" s="68"/>
    </row>
    <row r="134" spans="1:246" s="67" customFormat="1" ht="16.5" customHeight="1">
      <c r="A134" s="35" t="s">
        <v>27</v>
      </c>
      <c r="B134" s="71"/>
      <c r="C134" s="45">
        <f t="shared" si="2"/>
        <v>0</v>
      </c>
      <c r="D134" s="70">
        <v>0</v>
      </c>
      <c r="E134" s="70">
        <v>0</v>
      </c>
      <c r="F134" s="70">
        <v>0</v>
      </c>
      <c r="G134" s="70">
        <v>0</v>
      </c>
      <c r="H134" s="74"/>
      <c r="I134" s="75"/>
      <c r="J134" s="75"/>
      <c r="IH134" s="68"/>
      <c r="II134" s="68"/>
      <c r="IJ134" s="68"/>
      <c r="IK134" s="68"/>
      <c r="IL134" s="68"/>
    </row>
    <row r="135" spans="1:246" s="67" customFormat="1" ht="20.25" customHeight="1" hidden="1">
      <c r="A135" s="35"/>
      <c r="B135" s="72"/>
      <c r="C135" s="45">
        <f t="shared" si="2"/>
        <v>0</v>
      </c>
      <c r="D135" s="70"/>
      <c r="E135" s="70"/>
      <c r="F135" s="70"/>
      <c r="G135" s="70"/>
      <c r="H135" s="74"/>
      <c r="I135" s="75"/>
      <c r="J135" s="75"/>
      <c r="IH135" s="68"/>
      <c r="II135" s="68"/>
      <c r="IJ135" s="68"/>
      <c r="IK135" s="68"/>
      <c r="IL135" s="68"/>
    </row>
    <row r="136" spans="1:246" s="79" customFormat="1" ht="16.5" customHeight="1" hidden="1">
      <c r="A136" s="36"/>
      <c r="B136" s="25"/>
      <c r="C136" s="45">
        <f t="shared" si="2"/>
        <v>40421</v>
      </c>
      <c r="D136" s="100">
        <f>D137+D138+D139+D140</f>
        <v>20210</v>
      </c>
      <c r="E136" s="100">
        <f>E137+E138+E139+E140</f>
        <v>20211</v>
      </c>
      <c r="F136" s="100">
        <f>F137+F138+F139+F140</f>
        <v>0</v>
      </c>
      <c r="G136" s="100">
        <f>G137+G138+G139+G140</f>
        <v>0</v>
      </c>
      <c r="H136" s="77"/>
      <c r="I136" s="78"/>
      <c r="J136" s="78"/>
      <c r="IH136" s="80"/>
      <c r="II136" s="80"/>
      <c r="IJ136" s="80"/>
      <c r="IK136" s="80"/>
      <c r="IL136" s="80"/>
    </row>
    <row r="137" spans="1:246" s="67" customFormat="1" ht="16.5" customHeight="1" hidden="1">
      <c r="A137" s="35" t="s">
        <v>28</v>
      </c>
      <c r="B137" s="73"/>
      <c r="C137" s="45">
        <f t="shared" si="2"/>
        <v>0</v>
      </c>
      <c r="D137" s="70">
        <v>0</v>
      </c>
      <c r="E137" s="70">
        <v>0</v>
      </c>
      <c r="F137" s="70">
        <v>0</v>
      </c>
      <c r="G137" s="70">
        <v>0</v>
      </c>
      <c r="H137" s="74"/>
      <c r="I137" s="75"/>
      <c r="J137" s="75"/>
      <c r="IH137" s="68"/>
      <c r="II137" s="68"/>
      <c r="IJ137" s="68"/>
      <c r="IK137" s="68"/>
      <c r="IL137" s="68"/>
    </row>
    <row r="138" spans="1:246" s="67" customFormat="1" ht="16.5" customHeight="1" hidden="1">
      <c r="A138" s="35" t="s">
        <v>29</v>
      </c>
      <c r="B138" s="73"/>
      <c r="C138" s="45">
        <f t="shared" si="2"/>
        <v>40421</v>
      </c>
      <c r="D138" s="70">
        <v>20210</v>
      </c>
      <c r="E138" s="70">
        <v>20211</v>
      </c>
      <c r="F138" s="70"/>
      <c r="G138" s="70"/>
      <c r="H138" s="74"/>
      <c r="I138" s="75"/>
      <c r="J138" s="75"/>
      <c r="IH138" s="68"/>
      <c r="II138" s="68"/>
      <c r="IJ138" s="68"/>
      <c r="IK138" s="68"/>
      <c r="IL138" s="68"/>
    </row>
    <row r="139" spans="1:246" s="67" customFormat="1" ht="16.5" customHeight="1" hidden="1">
      <c r="A139" s="35" t="s">
        <v>30</v>
      </c>
      <c r="B139" s="73"/>
      <c r="C139" s="45">
        <f t="shared" si="2"/>
        <v>0</v>
      </c>
      <c r="D139" s="70">
        <v>0</v>
      </c>
      <c r="E139" s="70">
        <v>0</v>
      </c>
      <c r="F139" s="70">
        <v>0</v>
      </c>
      <c r="G139" s="70">
        <v>0</v>
      </c>
      <c r="H139" s="74"/>
      <c r="I139" s="75"/>
      <c r="J139" s="75"/>
      <c r="IH139" s="68"/>
      <c r="II139" s="68"/>
      <c r="IJ139" s="68"/>
      <c r="IK139" s="68"/>
      <c r="IL139" s="68"/>
    </row>
    <row r="140" spans="1:246" s="83" customFormat="1" ht="30" hidden="1">
      <c r="A140" s="49" t="s">
        <v>31</v>
      </c>
      <c r="B140" s="82"/>
      <c r="C140" s="45">
        <f t="shared" si="2"/>
        <v>0</v>
      </c>
      <c r="D140" s="70">
        <v>0</v>
      </c>
      <c r="E140" s="70">
        <v>0</v>
      </c>
      <c r="F140" s="70">
        <v>0</v>
      </c>
      <c r="G140" s="70">
        <v>0</v>
      </c>
      <c r="H140" s="74"/>
      <c r="I140" s="74"/>
      <c r="J140" s="74"/>
      <c r="IH140" s="84"/>
      <c r="II140" s="84"/>
      <c r="IJ140" s="84"/>
      <c r="IK140" s="84"/>
      <c r="IL140" s="84"/>
    </row>
    <row r="141" spans="1:246" s="67" customFormat="1" ht="31.5" customHeight="1">
      <c r="A141" s="65" t="s">
        <v>46</v>
      </c>
      <c r="B141" s="22" t="s">
        <v>47</v>
      </c>
      <c r="C141" s="40">
        <f t="shared" si="2"/>
        <v>11753</v>
      </c>
      <c r="D141" s="40">
        <f>SUM(D142:D144)</f>
        <v>4619</v>
      </c>
      <c r="E141" s="40">
        <f>SUM(E142:E144)</f>
        <v>2150</v>
      </c>
      <c r="F141" s="40">
        <f>SUM(F142:F144)</f>
        <v>2827</v>
      </c>
      <c r="G141" s="40">
        <f>SUM(G142:G144)</f>
        <v>2157</v>
      </c>
      <c r="H141" s="74"/>
      <c r="I141" s="75"/>
      <c r="J141" s="75"/>
      <c r="IH141" s="68"/>
      <c r="II141" s="68"/>
      <c r="IJ141" s="68"/>
      <c r="IK141" s="68"/>
      <c r="IL141" s="68"/>
    </row>
    <row r="142" spans="1:246" s="67" customFormat="1" ht="16.5" customHeight="1">
      <c r="A142" s="43" t="s">
        <v>25</v>
      </c>
      <c r="B142" s="69"/>
      <c r="C142" s="70">
        <f t="shared" si="2"/>
        <v>1695</v>
      </c>
      <c r="D142" s="70">
        <v>693</v>
      </c>
      <c r="E142" s="70">
        <v>300</v>
      </c>
      <c r="F142" s="70">
        <v>402</v>
      </c>
      <c r="G142" s="70">
        <v>300</v>
      </c>
      <c r="H142" s="74"/>
      <c r="I142" s="75"/>
      <c r="J142" s="75"/>
      <c r="IH142" s="68"/>
      <c r="II142" s="68"/>
      <c r="IJ142" s="68"/>
      <c r="IK142" s="68"/>
      <c r="IL142" s="68"/>
    </row>
    <row r="143" spans="1:246" s="67" customFormat="1" ht="16.5" customHeight="1">
      <c r="A143" s="35" t="s">
        <v>26</v>
      </c>
      <c r="B143" s="71"/>
      <c r="C143" s="70">
        <f t="shared" si="2"/>
        <v>9601</v>
      </c>
      <c r="D143" s="70">
        <v>3926</v>
      </c>
      <c r="E143" s="70">
        <v>1700</v>
      </c>
      <c r="F143" s="70">
        <v>2275</v>
      </c>
      <c r="G143" s="70">
        <v>1700</v>
      </c>
      <c r="H143" s="74"/>
      <c r="I143" s="75"/>
      <c r="J143" s="75"/>
      <c r="IH143" s="68"/>
      <c r="II143" s="68"/>
      <c r="IJ143" s="68"/>
      <c r="IK143" s="68"/>
      <c r="IL143" s="68"/>
    </row>
    <row r="144" spans="1:246" s="67" customFormat="1" ht="16.5" customHeight="1">
      <c r="A144" s="35" t="s">
        <v>27</v>
      </c>
      <c r="B144" s="72"/>
      <c r="C144" s="70">
        <f t="shared" si="2"/>
        <v>457</v>
      </c>
      <c r="D144" s="70">
        <v>0</v>
      </c>
      <c r="E144" s="70">
        <v>150</v>
      </c>
      <c r="F144" s="70">
        <v>150</v>
      </c>
      <c r="G144" s="70">
        <v>157</v>
      </c>
      <c r="H144" s="74"/>
      <c r="I144" s="75"/>
      <c r="J144" s="75"/>
      <c r="IH144" s="68"/>
      <c r="II144" s="68"/>
      <c r="IJ144" s="68"/>
      <c r="IK144" s="68"/>
      <c r="IL144" s="68"/>
    </row>
    <row r="145" spans="1:246" s="67" customFormat="1" ht="16.5" customHeight="1" hidden="1">
      <c r="A145" s="35"/>
      <c r="B145" s="73"/>
      <c r="C145" s="70"/>
      <c r="D145" s="70"/>
      <c r="E145" s="70"/>
      <c r="F145" s="70"/>
      <c r="G145" s="70"/>
      <c r="H145" s="74"/>
      <c r="I145" s="75"/>
      <c r="J145" s="75"/>
      <c r="IH145" s="68"/>
      <c r="II145" s="68"/>
      <c r="IJ145" s="68"/>
      <c r="IK145" s="68"/>
      <c r="IL145" s="68"/>
    </row>
    <row r="146" spans="1:246" s="79" customFormat="1" ht="16.5" customHeight="1" hidden="1">
      <c r="A146" s="36"/>
      <c r="B146" s="25"/>
      <c r="C146" s="100">
        <f>C147+C148+C149+C150</f>
        <v>7827</v>
      </c>
      <c r="D146" s="100">
        <f>D147+D148+D149+D150</f>
        <v>693</v>
      </c>
      <c r="E146" s="100">
        <f>E147+E148+E149+E150</f>
        <v>2150</v>
      </c>
      <c r="F146" s="100">
        <f>F147+F148+F149+F150</f>
        <v>2827</v>
      </c>
      <c r="G146" s="100">
        <f>G147+G148+G149+G150</f>
        <v>2157</v>
      </c>
      <c r="H146" s="77"/>
      <c r="I146" s="78"/>
      <c r="J146" s="78"/>
      <c r="IH146" s="80"/>
      <c r="II146" s="80"/>
      <c r="IJ146" s="80"/>
      <c r="IK146" s="80"/>
      <c r="IL146" s="80"/>
    </row>
    <row r="147" spans="1:246" s="67" customFormat="1" ht="16.5" customHeight="1" hidden="1">
      <c r="A147" s="35" t="s">
        <v>28</v>
      </c>
      <c r="B147" s="73"/>
      <c r="C147" s="70">
        <f>SUM(D147:G147)</f>
        <v>1468</v>
      </c>
      <c r="D147" s="70">
        <v>600</v>
      </c>
      <c r="E147" s="70">
        <v>260</v>
      </c>
      <c r="F147" s="70">
        <v>348</v>
      </c>
      <c r="G147" s="70">
        <v>260</v>
      </c>
      <c r="H147" s="74"/>
      <c r="I147" s="75"/>
      <c r="J147" s="75"/>
      <c r="IH147" s="68"/>
      <c r="II147" s="68"/>
      <c r="IJ147" s="68"/>
      <c r="IK147" s="68"/>
      <c r="IL147" s="68"/>
    </row>
    <row r="148" spans="1:246" s="67" customFormat="1" ht="16.5" customHeight="1" hidden="1">
      <c r="A148" s="35" t="s">
        <v>29</v>
      </c>
      <c r="B148" s="73"/>
      <c r="C148" s="70">
        <f>SUM(D148:G148)</f>
        <v>5675</v>
      </c>
      <c r="D148" s="70">
        <f>3926-3926</f>
        <v>0</v>
      </c>
      <c r="E148" s="70">
        <v>1700</v>
      </c>
      <c r="F148" s="70">
        <v>2275</v>
      </c>
      <c r="G148" s="70">
        <v>1700</v>
      </c>
      <c r="H148" s="74"/>
      <c r="I148" s="75"/>
      <c r="J148" s="75"/>
      <c r="IH148" s="68"/>
      <c r="II148" s="68"/>
      <c r="IJ148" s="68"/>
      <c r="IK148" s="68"/>
      <c r="IL148" s="68"/>
    </row>
    <row r="149" spans="1:246" s="67" customFormat="1" ht="16.5" customHeight="1" hidden="1">
      <c r="A149" s="35" t="s">
        <v>30</v>
      </c>
      <c r="B149" s="73"/>
      <c r="C149" s="70">
        <f>SUM(D149:G149)</f>
        <v>0</v>
      </c>
      <c r="D149" s="70">
        <v>0</v>
      </c>
      <c r="E149" s="70">
        <v>0</v>
      </c>
      <c r="F149" s="70">
        <v>0</v>
      </c>
      <c r="G149" s="70">
        <v>0</v>
      </c>
      <c r="H149" s="74"/>
      <c r="I149" s="75"/>
      <c r="J149" s="75"/>
      <c r="IH149" s="68"/>
      <c r="II149" s="68"/>
      <c r="IJ149" s="68"/>
      <c r="IK149" s="68"/>
      <c r="IL149" s="68"/>
    </row>
    <row r="150" spans="1:246" s="83" customFormat="1" ht="30" hidden="1">
      <c r="A150" s="49" t="s">
        <v>31</v>
      </c>
      <c r="B150" s="82"/>
      <c r="C150" s="70">
        <f>SUM(D150:G150)</f>
        <v>684</v>
      </c>
      <c r="D150" s="70">
        <v>93</v>
      </c>
      <c r="E150" s="70">
        <v>190</v>
      </c>
      <c r="F150" s="70">
        <v>204</v>
      </c>
      <c r="G150" s="70">
        <v>197</v>
      </c>
      <c r="H150" s="74"/>
      <c r="I150" s="74"/>
      <c r="J150" s="74"/>
      <c r="IH150" s="84"/>
      <c r="II150" s="84"/>
      <c r="IJ150" s="84"/>
      <c r="IK150" s="84"/>
      <c r="IL150" s="84"/>
    </row>
    <row r="151" spans="1:246" s="83" customFormat="1" ht="30" customHeight="1" hidden="1">
      <c r="A151" s="65" t="s">
        <v>46</v>
      </c>
      <c r="B151" s="22" t="s">
        <v>48</v>
      </c>
      <c r="C151" s="40" t="e">
        <f>C152+C153+C154</f>
        <v>#REF!</v>
      </c>
      <c r="D151" s="40">
        <f>D152+D153+D154</f>
        <v>0</v>
      </c>
      <c r="E151" s="40">
        <f>E152+E153+E154</f>
        <v>0</v>
      </c>
      <c r="F151" s="40">
        <f>F152+F153+F154</f>
        <v>0</v>
      </c>
      <c r="G151" s="40">
        <f>G152+G153+G154</f>
        <v>0</v>
      </c>
      <c r="H151" s="74"/>
      <c r="I151" s="74"/>
      <c r="J151" s="74"/>
      <c r="IH151" s="84"/>
      <c r="II151" s="84"/>
      <c r="IJ151" s="84"/>
      <c r="IK151" s="84"/>
      <c r="IL151" s="84"/>
    </row>
    <row r="152" spans="1:246" s="83" customFormat="1" ht="16.5" customHeight="1" hidden="1">
      <c r="A152" s="43" t="s">
        <v>49</v>
      </c>
      <c r="B152" s="44"/>
      <c r="C152" s="70" t="e">
        <f>D152+E152+F152+#REF!</f>
        <v>#REF!</v>
      </c>
      <c r="D152" s="70">
        <v>0</v>
      </c>
      <c r="E152" s="70"/>
      <c r="F152" s="70"/>
      <c r="G152" s="70"/>
      <c r="H152" s="74"/>
      <c r="I152" s="74"/>
      <c r="J152" s="74"/>
      <c r="IH152" s="84"/>
      <c r="II152" s="84"/>
      <c r="IJ152" s="84"/>
      <c r="IK152" s="84"/>
      <c r="IL152" s="84"/>
    </row>
    <row r="153" spans="1:246" s="83" customFormat="1" ht="16.5" customHeight="1" hidden="1">
      <c r="A153" s="43" t="s">
        <v>50</v>
      </c>
      <c r="B153" s="46"/>
      <c r="C153" s="70" t="e">
        <f>D153+E153+F153+#REF!</f>
        <v>#REF!</v>
      </c>
      <c r="D153" s="70">
        <v>0</v>
      </c>
      <c r="E153" s="70"/>
      <c r="F153" s="70"/>
      <c r="G153" s="70"/>
      <c r="H153" s="74"/>
      <c r="I153" s="74"/>
      <c r="J153" s="74"/>
      <c r="IH153" s="84"/>
      <c r="II153" s="84"/>
      <c r="IJ153" s="84"/>
      <c r="IK153" s="84"/>
      <c r="IL153" s="84"/>
    </row>
    <row r="154" spans="1:246" s="83" customFormat="1" ht="16.5" customHeight="1" hidden="1">
      <c r="A154" s="35" t="s">
        <v>51</v>
      </c>
      <c r="B154" s="47"/>
      <c r="C154" s="70" t="e">
        <f>D154+E154+F154+#REF!</f>
        <v>#REF!</v>
      </c>
      <c r="D154" s="70">
        <v>0</v>
      </c>
      <c r="E154" s="70"/>
      <c r="F154" s="70"/>
      <c r="G154" s="70"/>
      <c r="H154" s="74"/>
      <c r="I154" s="74"/>
      <c r="J154" s="74"/>
      <c r="IH154" s="84"/>
      <c r="II154" s="84"/>
      <c r="IJ154" s="84"/>
      <c r="IK154" s="84"/>
      <c r="IL154" s="84"/>
    </row>
    <row r="155" spans="1:246" s="83" customFormat="1" ht="16.5" customHeight="1" hidden="1">
      <c r="A155" s="35"/>
      <c r="B155" s="73"/>
      <c r="C155" s="70"/>
      <c r="D155" s="70"/>
      <c r="E155" s="70"/>
      <c r="F155" s="70"/>
      <c r="G155" s="70"/>
      <c r="H155" s="74"/>
      <c r="I155" s="74"/>
      <c r="J155" s="74"/>
      <c r="IH155" s="84"/>
      <c r="II155" s="84"/>
      <c r="IJ155" s="84"/>
      <c r="IK155" s="84"/>
      <c r="IL155" s="84"/>
    </row>
    <row r="156" spans="1:246" s="83" customFormat="1" ht="16.5" customHeight="1" hidden="1">
      <c r="A156" s="36"/>
      <c r="B156" s="25"/>
      <c r="C156" s="100">
        <f>C157+C158+C159+C160+C161+C162</f>
        <v>0</v>
      </c>
      <c r="D156" s="100">
        <f>D157+D158+D159+D160+D161+D162</f>
        <v>0</v>
      </c>
      <c r="E156" s="100">
        <f>E157+E158+E159+E160+E161+E162</f>
        <v>0</v>
      </c>
      <c r="F156" s="100">
        <f>F157+F158+F159+F160+F161+F162</f>
        <v>0</v>
      </c>
      <c r="G156" s="100">
        <f>G157+G158+G159+G160+G161+G162</f>
        <v>0</v>
      </c>
      <c r="H156" s="74"/>
      <c r="I156" s="74"/>
      <c r="J156" s="74"/>
      <c r="IH156" s="84"/>
      <c r="II156" s="84"/>
      <c r="IJ156" s="84"/>
      <c r="IK156" s="84"/>
      <c r="IL156" s="84"/>
    </row>
    <row r="157" spans="1:246" s="83" customFormat="1" ht="16.5" customHeight="1" hidden="1">
      <c r="A157" s="35" t="s">
        <v>52</v>
      </c>
      <c r="B157" s="73"/>
      <c r="C157" s="70">
        <f aca="true" t="shared" si="3" ref="C157:C162">SUM(D157:F157)</f>
        <v>0</v>
      </c>
      <c r="D157" s="70">
        <v>0</v>
      </c>
      <c r="E157" s="70"/>
      <c r="F157" s="70"/>
      <c r="G157" s="70"/>
      <c r="H157" s="74"/>
      <c r="I157" s="74"/>
      <c r="J157" s="74"/>
      <c r="IH157" s="84"/>
      <c r="II157" s="84"/>
      <c r="IJ157" s="84"/>
      <c r="IK157" s="84"/>
      <c r="IL157" s="84"/>
    </row>
    <row r="158" spans="1:246" s="83" customFormat="1" ht="16.5" customHeight="1" hidden="1">
      <c r="A158" s="35" t="s">
        <v>53</v>
      </c>
      <c r="B158" s="73"/>
      <c r="C158" s="70">
        <f t="shared" si="3"/>
        <v>0</v>
      </c>
      <c r="D158" s="70">
        <v>0</v>
      </c>
      <c r="E158" s="70"/>
      <c r="F158" s="70"/>
      <c r="G158" s="70"/>
      <c r="H158" s="74"/>
      <c r="I158" s="74"/>
      <c r="J158" s="74"/>
      <c r="IH158" s="84"/>
      <c r="II158" s="84"/>
      <c r="IJ158" s="84"/>
      <c r="IK158" s="84"/>
      <c r="IL158" s="84"/>
    </row>
    <row r="159" spans="1:246" s="83" customFormat="1" ht="16.5" customHeight="1" hidden="1">
      <c r="A159" s="35" t="s">
        <v>54</v>
      </c>
      <c r="B159" s="73"/>
      <c r="C159" s="70">
        <f t="shared" si="3"/>
        <v>0</v>
      </c>
      <c r="D159" s="70">
        <v>0</v>
      </c>
      <c r="E159" s="70"/>
      <c r="F159" s="70"/>
      <c r="G159" s="70"/>
      <c r="H159" s="74"/>
      <c r="I159" s="74"/>
      <c r="J159" s="74"/>
      <c r="IH159" s="84"/>
      <c r="II159" s="84"/>
      <c r="IJ159" s="84"/>
      <c r="IK159" s="84"/>
      <c r="IL159" s="84"/>
    </row>
    <row r="160" spans="1:246" s="83" customFormat="1" ht="16.5" customHeight="1" hidden="1">
      <c r="A160" s="35" t="s">
        <v>55</v>
      </c>
      <c r="B160" s="73"/>
      <c r="C160" s="70">
        <f t="shared" si="3"/>
        <v>0</v>
      </c>
      <c r="D160" s="70">
        <v>0</v>
      </c>
      <c r="E160" s="70"/>
      <c r="F160" s="70"/>
      <c r="G160" s="70"/>
      <c r="H160" s="74"/>
      <c r="I160" s="74"/>
      <c r="J160" s="74"/>
      <c r="IH160" s="84"/>
      <c r="II160" s="84"/>
      <c r="IJ160" s="84"/>
      <c r="IK160" s="84"/>
      <c r="IL160" s="84"/>
    </row>
    <row r="161" spans="1:246" s="83" customFormat="1" ht="16.5" customHeight="1" hidden="1">
      <c r="A161" s="35" t="s">
        <v>56</v>
      </c>
      <c r="B161" s="73"/>
      <c r="C161" s="70">
        <f t="shared" si="3"/>
        <v>0</v>
      </c>
      <c r="D161" s="70">
        <v>0</v>
      </c>
      <c r="E161" s="70"/>
      <c r="F161" s="70"/>
      <c r="G161" s="70"/>
      <c r="H161" s="74"/>
      <c r="I161" s="74"/>
      <c r="J161" s="74"/>
      <c r="IH161" s="84"/>
      <c r="II161" s="84"/>
      <c r="IJ161" s="84"/>
      <c r="IK161" s="84"/>
      <c r="IL161" s="84"/>
    </row>
    <row r="162" spans="1:246" s="83" customFormat="1" ht="16.5" customHeight="1" hidden="1">
      <c r="A162" s="35" t="s">
        <v>57</v>
      </c>
      <c r="B162" s="73"/>
      <c r="C162" s="70">
        <f t="shared" si="3"/>
        <v>0</v>
      </c>
      <c r="D162" s="70">
        <v>0</v>
      </c>
      <c r="E162" s="70"/>
      <c r="F162" s="70"/>
      <c r="G162" s="70"/>
      <c r="H162" s="74"/>
      <c r="I162" s="74"/>
      <c r="J162" s="74"/>
      <c r="IH162" s="84"/>
      <c r="II162" s="84"/>
      <c r="IJ162" s="84"/>
      <c r="IK162" s="84"/>
      <c r="IL162" s="84"/>
    </row>
    <row r="163" spans="1:246" s="83" customFormat="1" ht="30" customHeight="1" hidden="1">
      <c r="A163" s="65" t="s">
        <v>38</v>
      </c>
      <c r="B163" s="22" t="s">
        <v>58</v>
      </c>
      <c r="C163" s="40" t="e">
        <f>C164+C165+C166</f>
        <v>#REF!</v>
      </c>
      <c r="D163" s="40">
        <f>D164+D165+D166</f>
        <v>0</v>
      </c>
      <c r="E163" s="40">
        <f>E164+E165+E166</f>
        <v>0</v>
      </c>
      <c r="F163" s="40">
        <f>F164+F165+F166</f>
        <v>0</v>
      </c>
      <c r="G163" s="40">
        <f>G164+G165+G166</f>
        <v>0</v>
      </c>
      <c r="H163" s="74"/>
      <c r="I163" s="74"/>
      <c r="J163" s="74"/>
      <c r="IH163" s="84"/>
      <c r="II163" s="84"/>
      <c r="IJ163" s="84"/>
      <c r="IK163" s="84"/>
      <c r="IL163" s="84"/>
    </row>
    <row r="164" spans="1:246" s="83" customFormat="1" ht="16.5" customHeight="1" hidden="1">
      <c r="A164" s="43" t="s">
        <v>49</v>
      </c>
      <c r="B164" s="44"/>
      <c r="C164" s="70" t="e">
        <f>D164+E164+F164+#REF!</f>
        <v>#REF!</v>
      </c>
      <c r="D164" s="70">
        <v>0</v>
      </c>
      <c r="E164" s="70"/>
      <c r="F164" s="70"/>
      <c r="G164" s="70"/>
      <c r="H164" s="74"/>
      <c r="I164" s="74"/>
      <c r="J164" s="74"/>
      <c r="IH164" s="84"/>
      <c r="II164" s="84"/>
      <c r="IJ164" s="84"/>
      <c r="IK164" s="84"/>
      <c r="IL164" s="84"/>
    </row>
    <row r="165" spans="1:246" s="83" customFormat="1" ht="16.5" customHeight="1" hidden="1">
      <c r="A165" s="43" t="s">
        <v>50</v>
      </c>
      <c r="B165" s="46"/>
      <c r="C165" s="70" t="e">
        <f>D165+E165+F165+#REF!</f>
        <v>#REF!</v>
      </c>
      <c r="D165" s="70">
        <v>0</v>
      </c>
      <c r="E165" s="70"/>
      <c r="F165" s="70"/>
      <c r="G165" s="70"/>
      <c r="H165" s="74"/>
      <c r="I165" s="74"/>
      <c r="J165" s="74"/>
      <c r="IH165" s="84"/>
      <c r="II165" s="84"/>
      <c r="IJ165" s="84"/>
      <c r="IK165" s="84"/>
      <c r="IL165" s="84"/>
    </row>
    <row r="166" spans="1:246" s="83" customFormat="1" ht="16.5" customHeight="1" hidden="1">
      <c r="A166" s="35" t="s">
        <v>51</v>
      </c>
      <c r="B166" s="47"/>
      <c r="C166" s="70" t="e">
        <f>D166+E166+F166+#REF!</f>
        <v>#REF!</v>
      </c>
      <c r="D166" s="70">
        <v>0</v>
      </c>
      <c r="E166" s="70"/>
      <c r="F166" s="70"/>
      <c r="G166" s="70"/>
      <c r="H166" s="74"/>
      <c r="I166" s="74"/>
      <c r="J166" s="74"/>
      <c r="IH166" s="84"/>
      <c r="II166" s="84"/>
      <c r="IJ166" s="84"/>
      <c r="IK166" s="84"/>
      <c r="IL166" s="84"/>
    </row>
    <row r="167" spans="1:246" s="83" customFormat="1" ht="16.5" customHeight="1" hidden="1">
      <c r="A167" s="35"/>
      <c r="B167" s="73"/>
      <c r="C167" s="70"/>
      <c r="D167" s="70"/>
      <c r="E167" s="70"/>
      <c r="F167" s="70"/>
      <c r="G167" s="70"/>
      <c r="H167" s="74"/>
      <c r="I167" s="74"/>
      <c r="J167" s="74"/>
      <c r="IH167" s="84"/>
      <c r="II167" s="84"/>
      <c r="IJ167" s="84"/>
      <c r="IK167" s="84"/>
      <c r="IL167" s="84"/>
    </row>
    <row r="168" spans="1:246" s="83" customFormat="1" ht="16.5" customHeight="1" hidden="1">
      <c r="A168" s="36"/>
      <c r="B168" s="25"/>
      <c r="C168" s="100">
        <f>C169+C170+C171+C172+C173+C174</f>
        <v>0</v>
      </c>
      <c r="D168" s="100">
        <f>D169+D170+D171+D172+D173+D174</f>
        <v>0</v>
      </c>
      <c r="E168" s="100">
        <f>E169+E170+E171+E172+E173+E174</f>
        <v>0</v>
      </c>
      <c r="F168" s="100">
        <f>F169+F170+F171+F172+F173+F174</f>
        <v>0</v>
      </c>
      <c r="G168" s="100">
        <f>G169+G170+G171+G172+G173+G174</f>
        <v>0</v>
      </c>
      <c r="H168" s="74"/>
      <c r="I168" s="74"/>
      <c r="J168" s="74"/>
      <c r="IH168" s="84"/>
      <c r="II168" s="84"/>
      <c r="IJ168" s="84"/>
      <c r="IK168" s="84"/>
      <c r="IL168" s="84"/>
    </row>
    <row r="169" spans="1:246" s="83" customFormat="1" ht="16.5" customHeight="1" hidden="1">
      <c r="A169" s="35" t="s">
        <v>52</v>
      </c>
      <c r="B169" s="73"/>
      <c r="C169" s="70">
        <f aca="true" t="shared" si="4" ref="C169:C174">SUM(D169:F169)</f>
        <v>0</v>
      </c>
      <c r="D169" s="70">
        <v>0</v>
      </c>
      <c r="E169" s="70"/>
      <c r="F169" s="70"/>
      <c r="G169" s="70"/>
      <c r="H169" s="74"/>
      <c r="I169" s="74"/>
      <c r="J169" s="74"/>
      <c r="IH169" s="84"/>
      <c r="II169" s="84"/>
      <c r="IJ169" s="84"/>
      <c r="IK169" s="84"/>
      <c r="IL169" s="84"/>
    </row>
    <row r="170" spans="1:246" s="83" customFormat="1" ht="16.5" customHeight="1" hidden="1">
      <c r="A170" s="35" t="s">
        <v>53</v>
      </c>
      <c r="B170" s="73"/>
      <c r="C170" s="70">
        <f t="shared" si="4"/>
        <v>0</v>
      </c>
      <c r="D170" s="70">
        <v>0</v>
      </c>
      <c r="E170" s="70"/>
      <c r="F170" s="70"/>
      <c r="G170" s="70"/>
      <c r="H170" s="74"/>
      <c r="I170" s="74"/>
      <c r="J170" s="74"/>
      <c r="IH170" s="84"/>
      <c r="II170" s="84"/>
      <c r="IJ170" s="84"/>
      <c r="IK170" s="84"/>
      <c r="IL170" s="84"/>
    </row>
    <row r="171" spans="1:246" s="83" customFormat="1" ht="16.5" customHeight="1" hidden="1">
      <c r="A171" s="35" t="s">
        <v>54</v>
      </c>
      <c r="B171" s="73"/>
      <c r="C171" s="70">
        <f t="shared" si="4"/>
        <v>0</v>
      </c>
      <c r="D171" s="70">
        <v>0</v>
      </c>
      <c r="E171" s="70"/>
      <c r="F171" s="70"/>
      <c r="G171" s="70"/>
      <c r="H171" s="74"/>
      <c r="I171" s="74"/>
      <c r="J171" s="74"/>
      <c r="IH171" s="84"/>
      <c r="II171" s="84"/>
      <c r="IJ171" s="84"/>
      <c r="IK171" s="84"/>
      <c r="IL171" s="84"/>
    </row>
    <row r="172" spans="1:246" s="83" customFormat="1" ht="16.5" customHeight="1" hidden="1">
      <c r="A172" s="35" t="s">
        <v>55</v>
      </c>
      <c r="B172" s="73"/>
      <c r="C172" s="70">
        <f t="shared" si="4"/>
        <v>0</v>
      </c>
      <c r="D172" s="70">
        <v>0</v>
      </c>
      <c r="E172" s="70"/>
      <c r="F172" s="70"/>
      <c r="G172" s="70"/>
      <c r="H172" s="74"/>
      <c r="I172" s="74"/>
      <c r="J172" s="74"/>
      <c r="IH172" s="84"/>
      <c r="II172" s="84"/>
      <c r="IJ172" s="84"/>
      <c r="IK172" s="84"/>
      <c r="IL172" s="84"/>
    </row>
    <row r="173" spans="1:246" s="83" customFormat="1" ht="16.5" customHeight="1" hidden="1">
      <c r="A173" s="35" t="s">
        <v>56</v>
      </c>
      <c r="B173" s="73"/>
      <c r="C173" s="70">
        <f t="shared" si="4"/>
        <v>0</v>
      </c>
      <c r="D173" s="70">
        <v>0</v>
      </c>
      <c r="E173" s="70"/>
      <c r="F173" s="70"/>
      <c r="G173" s="70"/>
      <c r="H173" s="74"/>
      <c r="I173" s="74"/>
      <c r="J173" s="74"/>
      <c r="IH173" s="84"/>
      <c r="II173" s="84"/>
      <c r="IJ173" s="84"/>
      <c r="IK173" s="84"/>
      <c r="IL173" s="84"/>
    </row>
    <row r="174" spans="1:246" s="83" customFormat="1" ht="16.5" customHeight="1" hidden="1">
      <c r="A174" s="35" t="s">
        <v>57</v>
      </c>
      <c r="B174" s="73"/>
      <c r="C174" s="70">
        <f t="shared" si="4"/>
        <v>0</v>
      </c>
      <c r="D174" s="70">
        <v>0</v>
      </c>
      <c r="E174" s="70"/>
      <c r="F174" s="70"/>
      <c r="G174" s="70"/>
      <c r="H174" s="74"/>
      <c r="I174" s="74"/>
      <c r="J174" s="74"/>
      <c r="IH174" s="84"/>
      <c r="II174" s="84"/>
      <c r="IJ174" s="84"/>
      <c r="IK174" s="84"/>
      <c r="IL174" s="84"/>
    </row>
    <row r="175" spans="1:246" s="79" customFormat="1" ht="21" customHeight="1">
      <c r="A175" s="156" t="s">
        <v>59</v>
      </c>
      <c r="B175" s="156"/>
      <c r="C175" s="26">
        <f>C29+C39+C49+C59+C69+C79+C89+C99+C110+C121+C131+C141+C20+C11</f>
        <v>111230</v>
      </c>
      <c r="D175" s="26">
        <f>D29+D39+D49+D59+D69+D79+D89+D99+D110+D121+D131+D141+D20+D11</f>
        <v>39181</v>
      </c>
      <c r="E175" s="26">
        <f>E29+E39+E49+E59+E69+E79+E89+E99+E110+E121+E131+E141+E20+E11</f>
        <v>36618</v>
      </c>
      <c r="F175" s="26">
        <f>F29+F39+F49+F59+F69+F79+F89+F99+F110+F121+F131+F141+F20+F11</f>
        <v>18518</v>
      </c>
      <c r="G175" s="26">
        <f>G29+G39+G49+G59+G69+G79+G89+G99+G110+G121+G131+G141+G20+G11</f>
        <v>16913</v>
      </c>
      <c r="H175" s="77"/>
      <c r="I175" s="78"/>
      <c r="J175" s="78"/>
      <c r="IH175" s="80"/>
      <c r="II175" s="80"/>
      <c r="IJ175" s="80"/>
      <c r="IK175" s="80"/>
      <c r="IL175" s="80"/>
    </row>
    <row r="176" spans="1:246" s="67" customFormat="1" ht="20.25" customHeight="1">
      <c r="A176" s="160" t="s">
        <v>60</v>
      </c>
      <c r="B176" s="160"/>
      <c r="C176" s="160"/>
      <c r="D176" s="101"/>
      <c r="E176" s="101"/>
      <c r="F176" s="100"/>
      <c r="G176" s="100"/>
      <c r="H176" s="74"/>
      <c r="I176" s="75"/>
      <c r="J176" s="75"/>
      <c r="IH176" s="68"/>
      <c r="II176" s="68"/>
      <c r="IJ176" s="68"/>
      <c r="IK176" s="68"/>
      <c r="IL176" s="68"/>
    </row>
    <row r="177" spans="1:246" s="67" customFormat="1" ht="45.75" customHeight="1">
      <c r="A177" s="65" t="s">
        <v>61</v>
      </c>
      <c r="B177" s="65" t="s">
        <v>62</v>
      </c>
      <c r="C177" s="40">
        <f>C178+C179+C180</f>
        <v>17199</v>
      </c>
      <c r="D177" s="26">
        <f>D178+D179+D180</f>
        <v>2814</v>
      </c>
      <c r="E177" s="26">
        <f>E178+E179+E180</f>
        <v>4794</v>
      </c>
      <c r="F177" s="26">
        <f>F178+F179+F180</f>
        <v>4794</v>
      </c>
      <c r="G177" s="40">
        <f>G178+G179+G180</f>
        <v>4797</v>
      </c>
      <c r="H177" s="74"/>
      <c r="I177" s="75"/>
      <c r="J177" s="75"/>
      <c r="IH177" s="68"/>
      <c r="II177" s="68"/>
      <c r="IJ177" s="68"/>
      <c r="IK177" s="68"/>
      <c r="IL177" s="68"/>
    </row>
    <row r="178" spans="1:246" s="67" customFormat="1" ht="16.5" customHeight="1">
      <c r="A178" s="43" t="s">
        <v>25</v>
      </c>
      <c r="B178" s="44"/>
      <c r="C178" s="45">
        <f>D178+E178+F178+G178</f>
        <v>1088</v>
      </c>
      <c r="D178" s="31">
        <v>272</v>
      </c>
      <c r="E178" s="31">
        <v>272</v>
      </c>
      <c r="F178" s="31">
        <v>272</v>
      </c>
      <c r="G178" s="45">
        <v>272</v>
      </c>
      <c r="H178" s="83"/>
      <c r="I178" s="75"/>
      <c r="J178" s="75"/>
      <c r="IH178" s="68"/>
      <c r="II178" s="68"/>
      <c r="IJ178" s="68"/>
      <c r="IK178" s="68"/>
      <c r="IL178" s="68"/>
    </row>
    <row r="179" spans="1:246" s="67" customFormat="1" ht="16.5" customHeight="1">
      <c r="A179" s="35" t="s">
        <v>26</v>
      </c>
      <c r="B179" s="46"/>
      <c r="C179" s="45">
        <f>D179+E179+F179+G179</f>
        <v>6168</v>
      </c>
      <c r="D179" s="31">
        <v>1542</v>
      </c>
      <c r="E179" s="31">
        <v>1542</v>
      </c>
      <c r="F179" s="31">
        <v>1542</v>
      </c>
      <c r="G179" s="45">
        <v>1542</v>
      </c>
      <c r="H179" s="74"/>
      <c r="I179" s="75"/>
      <c r="J179" s="75"/>
      <c r="IH179" s="68"/>
      <c r="II179" s="68"/>
      <c r="IJ179" s="68"/>
      <c r="IK179" s="68"/>
      <c r="IL179" s="68"/>
    </row>
    <row r="180" spans="1:246" s="67" customFormat="1" ht="16.5" customHeight="1">
      <c r="A180" s="35" t="s">
        <v>27</v>
      </c>
      <c r="B180" s="47"/>
      <c r="C180" s="45">
        <f>D180+E180+F180+G180</f>
        <v>9943</v>
      </c>
      <c r="D180" s="31">
        <v>1000</v>
      </c>
      <c r="E180" s="31">
        <v>2980</v>
      </c>
      <c r="F180" s="31">
        <v>2980</v>
      </c>
      <c r="G180" s="45">
        <v>2983</v>
      </c>
      <c r="H180" s="74"/>
      <c r="I180" s="75"/>
      <c r="J180" s="75"/>
      <c r="IH180" s="68"/>
      <c r="II180" s="68"/>
      <c r="IJ180" s="68"/>
      <c r="IK180" s="68"/>
      <c r="IL180" s="68"/>
    </row>
    <row r="181" spans="1:246" s="67" customFormat="1" ht="16.5" customHeight="1" hidden="1">
      <c r="A181" s="35"/>
      <c r="B181" s="65"/>
      <c r="C181" s="45"/>
      <c r="D181" s="31"/>
      <c r="E181" s="31"/>
      <c r="F181" s="45"/>
      <c r="G181" s="45"/>
      <c r="H181" s="74" t="s">
        <v>42</v>
      </c>
      <c r="I181" s="75"/>
      <c r="J181" s="75"/>
      <c r="IH181" s="68"/>
      <c r="II181" s="68"/>
      <c r="IJ181" s="68"/>
      <c r="IK181" s="68"/>
      <c r="IL181" s="68"/>
    </row>
    <row r="182" spans="1:246" s="67" customFormat="1" ht="16.5" customHeight="1" hidden="1">
      <c r="A182" s="36"/>
      <c r="B182" s="65"/>
      <c r="C182" s="40">
        <f aca="true" t="shared" si="5" ref="C182:C190">D182+E182+F182+G182</f>
        <v>17199</v>
      </c>
      <c r="D182" s="26">
        <f>D183+D184+D185+D186</f>
        <v>2814</v>
      </c>
      <c r="E182" s="26">
        <f>E183+E184+E185+E186</f>
        <v>4794</v>
      </c>
      <c r="F182" s="40">
        <f>F183+F184+F185+F186</f>
        <v>4794</v>
      </c>
      <c r="G182" s="40">
        <f>G183+G184+G185+G186</f>
        <v>4797</v>
      </c>
      <c r="H182" s="74"/>
      <c r="I182" s="75"/>
      <c r="J182" s="75"/>
      <c r="IH182" s="68"/>
      <c r="II182" s="68"/>
      <c r="IJ182" s="68"/>
      <c r="IK182" s="68"/>
      <c r="IL182" s="68"/>
    </row>
    <row r="183" spans="1:246" s="67" customFormat="1" ht="16.5" customHeight="1" hidden="1">
      <c r="A183" s="35" t="s">
        <v>28</v>
      </c>
      <c r="B183" s="65"/>
      <c r="C183" s="45">
        <f t="shared" si="5"/>
        <v>1254</v>
      </c>
      <c r="D183" s="31">
        <v>236</v>
      </c>
      <c r="E183" s="31">
        <v>546</v>
      </c>
      <c r="F183" s="31">
        <v>236</v>
      </c>
      <c r="G183" s="31">
        <v>236</v>
      </c>
      <c r="H183" s="74"/>
      <c r="I183" s="75"/>
      <c r="J183" s="75"/>
      <c r="IH183" s="68"/>
      <c r="II183" s="68"/>
      <c r="IJ183" s="68"/>
      <c r="IK183" s="68"/>
      <c r="IL183" s="68"/>
    </row>
    <row r="184" spans="1:246" s="67" customFormat="1" ht="16.5" customHeight="1" hidden="1">
      <c r="A184" s="35" t="s">
        <v>29</v>
      </c>
      <c r="B184" s="65"/>
      <c r="C184" s="45">
        <f t="shared" si="5"/>
        <v>4626</v>
      </c>
      <c r="D184" s="31">
        <v>1542</v>
      </c>
      <c r="E184" s="31">
        <v>0</v>
      </c>
      <c r="F184" s="31">
        <v>1542</v>
      </c>
      <c r="G184" s="31">
        <v>1542</v>
      </c>
      <c r="H184" s="74"/>
      <c r="I184" s="75"/>
      <c r="J184" s="75"/>
      <c r="IH184" s="68"/>
      <c r="II184" s="68"/>
      <c r="IJ184" s="68"/>
      <c r="IK184" s="68"/>
      <c r="IL184" s="68"/>
    </row>
    <row r="185" spans="1:246" s="67" customFormat="1" ht="16.5" customHeight="1" hidden="1">
      <c r="A185" s="35" t="s">
        <v>30</v>
      </c>
      <c r="B185" s="65"/>
      <c r="C185" s="45">
        <f t="shared" si="5"/>
        <v>3568</v>
      </c>
      <c r="D185" s="31">
        <v>0</v>
      </c>
      <c r="E185" s="31">
        <v>3568</v>
      </c>
      <c r="F185" s="31">
        <v>0</v>
      </c>
      <c r="G185" s="39">
        <v>0</v>
      </c>
      <c r="H185" s="74"/>
      <c r="I185" s="75"/>
      <c r="J185" s="75"/>
      <c r="IH185" s="68"/>
      <c r="II185" s="68"/>
      <c r="IJ185" s="68"/>
      <c r="IK185" s="68"/>
      <c r="IL185" s="68"/>
    </row>
    <row r="186" spans="1:246" s="67" customFormat="1" ht="30.75" customHeight="1" hidden="1">
      <c r="A186" s="49" t="s">
        <v>31</v>
      </c>
      <c r="B186" s="65"/>
      <c r="C186" s="45">
        <f t="shared" si="5"/>
        <v>7751</v>
      </c>
      <c r="D186" s="45">
        <v>1036</v>
      </c>
      <c r="E186" s="45">
        <v>680</v>
      </c>
      <c r="F186" s="45">
        <v>3016</v>
      </c>
      <c r="G186" s="45">
        <v>3019</v>
      </c>
      <c r="H186" s="74"/>
      <c r="I186" s="75"/>
      <c r="J186" s="75"/>
      <c r="IH186" s="68"/>
      <c r="II186" s="68"/>
      <c r="IJ186" s="68"/>
      <c r="IK186" s="68"/>
      <c r="IL186" s="68"/>
    </row>
    <row r="187" spans="1:246" s="67" customFormat="1" ht="47.25" customHeight="1">
      <c r="A187" s="65" t="s">
        <v>61</v>
      </c>
      <c r="B187" s="22" t="s">
        <v>63</v>
      </c>
      <c r="C187" s="40">
        <f t="shared" si="5"/>
        <v>1826</v>
      </c>
      <c r="D187" s="40">
        <f>SUM(D188:D190)</f>
        <v>1826</v>
      </c>
      <c r="E187" s="40">
        <f>SUM(E188:E190)</f>
        <v>0</v>
      </c>
      <c r="F187" s="40">
        <f>SUM(F188:F190)</f>
        <v>0</v>
      </c>
      <c r="G187" s="40">
        <f>G188+G189+G190</f>
        <v>0</v>
      </c>
      <c r="H187" s="74"/>
      <c r="I187" s="75"/>
      <c r="J187" s="75"/>
      <c r="IH187" s="68"/>
      <c r="II187" s="68"/>
      <c r="IJ187" s="68"/>
      <c r="IK187" s="68"/>
      <c r="IL187" s="68"/>
    </row>
    <row r="188" spans="1:246" s="67" customFormat="1" ht="16.5" customHeight="1">
      <c r="A188" s="43" t="s">
        <v>25</v>
      </c>
      <c r="B188" s="69"/>
      <c r="C188" s="70">
        <f t="shared" si="5"/>
        <v>496</v>
      </c>
      <c r="D188" s="70">
        <v>496</v>
      </c>
      <c r="E188" s="31">
        <v>0</v>
      </c>
      <c r="F188" s="31">
        <v>0</v>
      </c>
      <c r="G188" s="31">
        <v>0</v>
      </c>
      <c r="H188" s="74"/>
      <c r="I188" s="75"/>
      <c r="J188" s="75"/>
      <c r="IH188" s="68"/>
      <c r="II188" s="68"/>
      <c r="IJ188" s="68"/>
      <c r="IK188" s="68"/>
      <c r="IL188" s="68"/>
    </row>
    <row r="189" spans="1:246" s="67" customFormat="1" ht="16.5" customHeight="1">
      <c r="A189" s="35" t="s">
        <v>26</v>
      </c>
      <c r="B189" s="71"/>
      <c r="C189" s="70">
        <f t="shared" si="5"/>
        <v>1156</v>
      </c>
      <c r="D189" s="70">
        <v>1156</v>
      </c>
      <c r="E189" s="31">
        <v>0</v>
      </c>
      <c r="F189" s="31">
        <v>0</v>
      </c>
      <c r="G189" s="31">
        <v>0</v>
      </c>
      <c r="H189" s="74"/>
      <c r="I189" s="75"/>
      <c r="J189" s="75"/>
      <c r="IH189" s="68"/>
      <c r="II189" s="68"/>
      <c r="IJ189" s="68"/>
      <c r="IK189" s="68"/>
      <c r="IL189" s="68"/>
    </row>
    <row r="190" spans="1:246" s="67" customFormat="1" ht="15.75" customHeight="1">
      <c r="A190" s="35" t="s">
        <v>27</v>
      </c>
      <c r="B190" s="72"/>
      <c r="C190" s="70">
        <f t="shared" si="5"/>
        <v>174</v>
      </c>
      <c r="D190" s="70">
        <v>174</v>
      </c>
      <c r="E190" s="31">
        <v>0</v>
      </c>
      <c r="F190" s="31">
        <v>0</v>
      </c>
      <c r="G190" s="31">
        <v>0</v>
      </c>
      <c r="H190" s="74"/>
      <c r="I190" s="75"/>
      <c r="J190" s="75"/>
      <c r="IH190" s="68"/>
      <c r="II190" s="68"/>
      <c r="IJ190" s="68"/>
      <c r="IK190" s="68"/>
      <c r="IL190" s="68"/>
    </row>
    <row r="191" spans="1:246" s="67" customFormat="1" ht="18" customHeight="1" hidden="1">
      <c r="A191" s="35"/>
      <c r="B191" s="73"/>
      <c r="C191" s="70"/>
      <c r="D191" s="70"/>
      <c r="E191" s="70"/>
      <c r="F191" s="70"/>
      <c r="G191" s="70"/>
      <c r="H191" s="74"/>
      <c r="I191" s="75"/>
      <c r="J191" s="75"/>
      <c r="IH191" s="68"/>
      <c r="II191" s="68"/>
      <c r="IJ191" s="68"/>
      <c r="IK191" s="68"/>
      <c r="IL191" s="68"/>
    </row>
    <row r="192" spans="1:246" s="79" customFormat="1" ht="20.25" customHeight="1" hidden="1">
      <c r="A192" s="36"/>
      <c r="B192" s="25"/>
      <c r="C192" s="100">
        <f>C193+C194+C195+C196</f>
        <v>5931.96</v>
      </c>
      <c r="D192" s="100">
        <f>D193+D194+D195+D196</f>
        <v>5931.96</v>
      </c>
      <c r="E192" s="100">
        <f>E193+E194+E195+E196</f>
        <v>0</v>
      </c>
      <c r="F192" s="100">
        <f>F193+F194+F195+F196</f>
        <v>0</v>
      </c>
      <c r="G192" s="100">
        <f>G193+G194+G195+G196</f>
        <v>0</v>
      </c>
      <c r="H192" s="77"/>
      <c r="I192" s="78"/>
      <c r="J192" s="78"/>
      <c r="IH192" s="80"/>
      <c r="II192" s="80"/>
      <c r="IJ192" s="80"/>
      <c r="IK192" s="80"/>
      <c r="IL192" s="80"/>
    </row>
    <row r="193" spans="1:246" s="67" customFormat="1" ht="18.75" customHeight="1" hidden="1">
      <c r="A193" s="35" t="s">
        <v>28</v>
      </c>
      <c r="B193" s="73"/>
      <c r="C193" s="70">
        <f>SUM(D193:F193)</f>
        <v>138.88000000000002</v>
      </c>
      <c r="D193" s="70">
        <f>D188*0.28</f>
        <v>138.88000000000002</v>
      </c>
      <c r="E193" s="31">
        <v>0</v>
      </c>
      <c r="F193" s="31">
        <v>0</v>
      </c>
      <c r="G193" s="31">
        <v>0</v>
      </c>
      <c r="H193" s="74"/>
      <c r="I193" s="75"/>
      <c r="J193" s="75"/>
      <c r="IH193" s="68"/>
      <c r="II193" s="68"/>
      <c r="IJ193" s="68"/>
      <c r="IK193" s="68"/>
      <c r="IL193" s="68"/>
    </row>
    <row r="194" spans="1:246" s="67" customFormat="1" ht="15" customHeight="1" hidden="1">
      <c r="A194" s="35" t="s">
        <v>29</v>
      </c>
      <c r="B194" s="73"/>
      <c r="C194" s="70">
        <f>SUM(D194:F194)</f>
        <v>1156</v>
      </c>
      <c r="D194" s="70">
        <f>D189</f>
        <v>1156</v>
      </c>
      <c r="E194" s="31">
        <v>0</v>
      </c>
      <c r="F194" s="31">
        <v>0</v>
      </c>
      <c r="G194" s="31">
        <v>0</v>
      </c>
      <c r="H194" s="74"/>
      <c r="I194" s="75"/>
      <c r="J194" s="75"/>
      <c r="IH194" s="68"/>
      <c r="II194" s="68"/>
      <c r="IJ194" s="68"/>
      <c r="IK194" s="68"/>
      <c r="IL194" s="68"/>
    </row>
    <row r="195" spans="1:246" s="67" customFormat="1" ht="17.25" customHeight="1" hidden="1">
      <c r="A195" s="35" t="s">
        <v>30</v>
      </c>
      <c r="B195" s="73"/>
      <c r="C195" s="70">
        <f>SUM(D195:F195)</f>
        <v>4604.04</v>
      </c>
      <c r="D195" s="70">
        <f>4698*0.98</f>
        <v>4604.04</v>
      </c>
      <c r="E195" s="31">
        <v>0</v>
      </c>
      <c r="F195" s="31">
        <v>0</v>
      </c>
      <c r="G195" s="31">
        <v>0</v>
      </c>
      <c r="H195" s="74"/>
      <c r="I195" s="75"/>
      <c r="J195" s="75"/>
      <c r="IH195" s="68"/>
      <c r="II195" s="68"/>
      <c r="IJ195" s="68"/>
      <c r="IK195" s="68"/>
      <c r="IL195" s="68"/>
    </row>
    <row r="196" spans="1:246" s="83" customFormat="1" ht="30" hidden="1">
      <c r="A196" s="49" t="s">
        <v>31</v>
      </c>
      <c r="B196" s="82"/>
      <c r="C196" s="70">
        <f>SUM(D196:F196)</f>
        <v>33.04</v>
      </c>
      <c r="D196" s="70">
        <f>(D188+D189)*0.02</f>
        <v>33.04</v>
      </c>
      <c r="E196" s="70">
        <v>0</v>
      </c>
      <c r="F196" s="70">
        <v>0</v>
      </c>
      <c r="G196" s="70">
        <v>0</v>
      </c>
      <c r="H196" s="74"/>
      <c r="I196" s="74"/>
      <c r="J196" s="74"/>
      <c r="IH196" s="84"/>
      <c r="II196" s="84"/>
      <c r="IJ196" s="84"/>
      <c r="IK196" s="84"/>
      <c r="IL196" s="84"/>
    </row>
    <row r="197" spans="1:246" s="67" customFormat="1" ht="63" customHeight="1">
      <c r="A197" s="65" t="s">
        <v>61</v>
      </c>
      <c r="B197" s="22" t="s">
        <v>64</v>
      </c>
      <c r="C197" s="40">
        <f>D197+E197+F197+G197</f>
        <v>5235</v>
      </c>
      <c r="D197" s="40">
        <f>SUM(D198:D200)</f>
        <v>2308</v>
      </c>
      <c r="E197" s="40">
        <f>SUM(E198:E200)</f>
        <v>1307</v>
      </c>
      <c r="F197" s="40">
        <f>SUM(F198:F200)</f>
        <v>1155</v>
      </c>
      <c r="G197" s="40">
        <f>SUM(G198:G200)</f>
        <v>465</v>
      </c>
      <c r="H197" s="74"/>
      <c r="I197" s="75"/>
      <c r="J197" s="75"/>
      <c r="IH197" s="68"/>
      <c r="II197" s="68"/>
      <c r="IJ197" s="68"/>
      <c r="IK197" s="68"/>
      <c r="IL197" s="68"/>
    </row>
    <row r="198" spans="1:246" s="67" customFormat="1" ht="16.5" customHeight="1">
      <c r="A198" s="43" t="s">
        <v>25</v>
      </c>
      <c r="B198" s="69"/>
      <c r="C198" s="70">
        <f>D198+E198+F198+G198</f>
        <v>0</v>
      </c>
      <c r="D198" s="70">
        <v>0</v>
      </c>
      <c r="E198" s="70">
        <v>0</v>
      </c>
      <c r="F198" s="70">
        <v>0</v>
      </c>
      <c r="G198" s="70">
        <v>0</v>
      </c>
      <c r="H198" s="74"/>
      <c r="I198" s="75"/>
      <c r="J198" s="75"/>
      <c r="IH198" s="68"/>
      <c r="II198" s="68"/>
      <c r="IJ198" s="68"/>
      <c r="IK198" s="68"/>
      <c r="IL198" s="68"/>
    </row>
    <row r="199" spans="1:246" s="67" customFormat="1" ht="16.5" customHeight="1">
      <c r="A199" s="35" t="s">
        <v>26</v>
      </c>
      <c r="B199" s="71"/>
      <c r="C199" s="70">
        <f>D199+E199+F199+G199</f>
        <v>5235</v>
      </c>
      <c r="D199" s="70">
        <v>2308</v>
      </c>
      <c r="E199" s="70">
        <v>1307</v>
      </c>
      <c r="F199" s="70">
        <v>1155</v>
      </c>
      <c r="G199" s="70">
        <v>465</v>
      </c>
      <c r="H199" s="74"/>
      <c r="I199" s="75"/>
      <c r="J199" s="75"/>
      <c r="IH199" s="68"/>
      <c r="II199" s="68"/>
      <c r="IJ199" s="68"/>
      <c r="IK199" s="68"/>
      <c r="IL199" s="68"/>
    </row>
    <row r="200" spans="1:246" s="67" customFormat="1" ht="15.75" customHeight="1">
      <c r="A200" s="35" t="s">
        <v>27</v>
      </c>
      <c r="B200" s="72"/>
      <c r="C200" s="70">
        <f>D200+E200+F200+G200</f>
        <v>0</v>
      </c>
      <c r="D200" s="70">
        <v>0</v>
      </c>
      <c r="E200" s="70">
        <v>0</v>
      </c>
      <c r="F200" s="70">
        <v>0</v>
      </c>
      <c r="G200" s="70">
        <v>0</v>
      </c>
      <c r="H200" s="74"/>
      <c r="I200" s="75"/>
      <c r="J200" s="75"/>
      <c r="IH200" s="68"/>
      <c r="II200" s="68"/>
      <c r="IJ200" s="68"/>
      <c r="IK200" s="68"/>
      <c r="IL200" s="68"/>
    </row>
    <row r="201" spans="1:246" s="67" customFormat="1" ht="18.75" customHeight="1" hidden="1">
      <c r="A201" s="35" t="s">
        <v>28</v>
      </c>
      <c r="B201" s="73"/>
      <c r="C201" s="70">
        <f>SUM(D201:F201)</f>
        <v>0</v>
      </c>
      <c r="D201" s="70"/>
      <c r="E201" s="70"/>
      <c r="F201" s="70"/>
      <c r="G201" s="70"/>
      <c r="H201" s="74"/>
      <c r="I201" s="75"/>
      <c r="J201" s="75"/>
      <c r="IH201" s="68"/>
      <c r="II201" s="68"/>
      <c r="IJ201" s="68"/>
      <c r="IK201" s="68"/>
      <c r="IL201" s="68"/>
    </row>
    <row r="202" spans="1:246" s="67" customFormat="1" ht="15" customHeight="1" hidden="1">
      <c r="A202" s="35" t="s">
        <v>29</v>
      </c>
      <c r="B202" s="73"/>
      <c r="C202" s="70">
        <f>D202+E202+F202+G202</f>
        <v>5235</v>
      </c>
      <c r="D202" s="70">
        <v>2308</v>
      </c>
      <c r="E202" s="70">
        <v>1307</v>
      </c>
      <c r="F202" s="70">
        <v>1155</v>
      </c>
      <c r="G202" s="70">
        <v>465</v>
      </c>
      <c r="H202" s="74"/>
      <c r="I202" s="75"/>
      <c r="J202" s="75"/>
      <c r="IH202" s="68"/>
      <c r="II202" s="68"/>
      <c r="IJ202" s="68"/>
      <c r="IK202" s="68"/>
      <c r="IL202" s="68"/>
    </row>
    <row r="203" spans="1:246" s="67" customFormat="1" ht="17.25" customHeight="1" hidden="1">
      <c r="A203" s="35" t="s">
        <v>30</v>
      </c>
      <c r="B203" s="73"/>
      <c r="C203" s="70">
        <f>SUM(D203:F203)</f>
        <v>0</v>
      </c>
      <c r="D203" s="70"/>
      <c r="E203" s="70"/>
      <c r="F203" s="70"/>
      <c r="G203" s="70"/>
      <c r="H203" s="74"/>
      <c r="I203" s="75"/>
      <c r="J203" s="75"/>
      <c r="IH203" s="68"/>
      <c r="II203" s="68"/>
      <c r="IJ203" s="68"/>
      <c r="IK203" s="68"/>
      <c r="IL203" s="68"/>
    </row>
    <row r="204" spans="1:246" s="83" customFormat="1" ht="30" hidden="1">
      <c r="A204" s="49" t="s">
        <v>31</v>
      </c>
      <c r="B204" s="82"/>
      <c r="C204" s="70">
        <f>SUM(D204:F204)</f>
        <v>0</v>
      </c>
      <c r="D204" s="70"/>
      <c r="E204" s="70"/>
      <c r="F204" s="70"/>
      <c r="G204" s="70"/>
      <c r="H204" s="74"/>
      <c r="I204" s="74"/>
      <c r="J204" s="74"/>
      <c r="IH204" s="84"/>
      <c r="II204" s="84"/>
      <c r="IJ204" s="84"/>
      <c r="IK204" s="84"/>
      <c r="IL204" s="84"/>
    </row>
    <row r="205" spans="1:246" s="67" customFormat="1" ht="61.5" customHeight="1">
      <c r="A205" s="65" t="s">
        <v>61</v>
      </c>
      <c r="B205" s="22" t="s">
        <v>65</v>
      </c>
      <c r="C205" s="40">
        <f>D205+E205+F205+G205</f>
        <v>10539</v>
      </c>
      <c r="D205" s="40">
        <f>SUM(D206:D208)</f>
        <v>700</v>
      </c>
      <c r="E205" s="40">
        <f>SUM(E206:E208)</f>
        <v>2149</v>
      </c>
      <c r="F205" s="40">
        <f>SUM(F206:F208)</f>
        <v>5649</v>
      </c>
      <c r="G205" s="40">
        <f>SUM(G206:G208)</f>
        <v>2041</v>
      </c>
      <c r="H205" s="74"/>
      <c r="I205" s="75"/>
      <c r="J205" s="75"/>
      <c r="IH205" s="68"/>
      <c r="II205" s="68"/>
      <c r="IJ205" s="68"/>
      <c r="IK205" s="68"/>
      <c r="IL205" s="68"/>
    </row>
    <row r="206" spans="1:246" s="67" customFormat="1" ht="16.5" customHeight="1">
      <c r="A206" s="43" t="s">
        <v>25</v>
      </c>
      <c r="B206" s="69"/>
      <c r="C206" s="70">
        <f>D206+E206+F206+G206</f>
        <v>0</v>
      </c>
      <c r="D206" s="70">
        <v>0</v>
      </c>
      <c r="E206" s="70">
        <v>0</v>
      </c>
      <c r="F206" s="70">
        <v>0</v>
      </c>
      <c r="G206" s="70">
        <v>0</v>
      </c>
      <c r="H206" s="74"/>
      <c r="I206" s="75"/>
      <c r="J206" s="75"/>
      <c r="IH206" s="68"/>
      <c r="II206" s="68"/>
      <c r="IJ206" s="68"/>
      <c r="IK206" s="68"/>
      <c r="IL206" s="68"/>
    </row>
    <row r="207" spans="1:246" s="67" customFormat="1" ht="16.5" customHeight="1">
      <c r="A207" s="35" t="s">
        <v>26</v>
      </c>
      <c r="B207" s="71"/>
      <c r="C207" s="70">
        <f>D207+E207+F207+G207</f>
        <v>9890</v>
      </c>
      <c r="D207" s="70">
        <v>700</v>
      </c>
      <c r="E207" s="70">
        <v>2149</v>
      </c>
      <c r="F207" s="70">
        <v>5000</v>
      </c>
      <c r="G207" s="70">
        <v>2041</v>
      </c>
      <c r="H207" s="74"/>
      <c r="I207" s="75"/>
      <c r="J207" s="75"/>
      <c r="IH207" s="68"/>
      <c r="II207" s="68"/>
      <c r="IJ207" s="68"/>
      <c r="IK207" s="68"/>
      <c r="IL207" s="68"/>
    </row>
    <row r="208" spans="1:246" s="67" customFormat="1" ht="15.75" customHeight="1">
      <c r="A208" s="35" t="s">
        <v>27</v>
      </c>
      <c r="B208" s="72"/>
      <c r="C208" s="70">
        <f>D208+E208+F208+G208</f>
        <v>649</v>
      </c>
      <c r="D208" s="70">
        <v>0</v>
      </c>
      <c r="E208" s="70">
        <v>0</v>
      </c>
      <c r="F208" s="70">
        <v>649</v>
      </c>
      <c r="G208" s="70">
        <v>0</v>
      </c>
      <c r="H208" s="74"/>
      <c r="I208" s="75"/>
      <c r="J208" s="75"/>
      <c r="IH208" s="68"/>
      <c r="II208" s="68"/>
      <c r="IJ208" s="68"/>
      <c r="IK208" s="68"/>
      <c r="IL208" s="68"/>
    </row>
    <row r="209" spans="1:246" s="67" customFormat="1" ht="18.75" customHeight="1" hidden="1">
      <c r="A209" s="35" t="s">
        <v>28</v>
      </c>
      <c r="B209" s="73"/>
      <c r="C209" s="70">
        <f>SUM(D209:F209)</f>
        <v>0</v>
      </c>
      <c r="D209" s="70"/>
      <c r="E209" s="70"/>
      <c r="F209" s="70"/>
      <c r="G209" s="70"/>
      <c r="H209" s="74"/>
      <c r="I209" s="75"/>
      <c r="J209" s="75"/>
      <c r="IH209" s="68"/>
      <c r="II209" s="68"/>
      <c r="IJ209" s="68"/>
      <c r="IK209" s="68"/>
      <c r="IL209" s="68"/>
    </row>
    <row r="210" spans="1:246" s="67" customFormat="1" ht="15" customHeight="1" hidden="1">
      <c r="A210" s="35" t="s">
        <v>29</v>
      </c>
      <c r="B210" s="73"/>
      <c r="C210" s="70">
        <f>SUM(D210:G210)</f>
        <v>9890</v>
      </c>
      <c r="D210" s="70">
        <f>D207</f>
        <v>700</v>
      </c>
      <c r="E210" s="70">
        <f>E207</f>
        <v>2149</v>
      </c>
      <c r="F210" s="70">
        <f>F207</f>
        <v>5000</v>
      </c>
      <c r="G210" s="70">
        <f>G207</f>
        <v>2041</v>
      </c>
      <c r="H210" s="74"/>
      <c r="I210" s="75"/>
      <c r="J210" s="75"/>
      <c r="IH210" s="68"/>
      <c r="II210" s="68"/>
      <c r="IJ210" s="68"/>
      <c r="IK210" s="68"/>
      <c r="IL210" s="68"/>
    </row>
    <row r="211" spans="1:246" s="67" customFormat="1" ht="17.25" customHeight="1" hidden="1">
      <c r="A211" s="35" t="s">
        <v>30</v>
      </c>
      <c r="B211" s="73"/>
      <c r="C211" s="70">
        <f>SUM(D211:G211)</f>
        <v>0</v>
      </c>
      <c r="D211" s="70">
        <v>0</v>
      </c>
      <c r="E211" s="70">
        <v>0</v>
      </c>
      <c r="F211" s="70">
        <v>0</v>
      </c>
      <c r="G211" s="70">
        <v>0</v>
      </c>
      <c r="H211" s="74"/>
      <c r="I211" s="75"/>
      <c r="J211" s="75"/>
      <c r="IH211" s="68"/>
      <c r="II211" s="68"/>
      <c r="IJ211" s="68"/>
      <c r="IK211" s="68"/>
      <c r="IL211" s="68"/>
    </row>
    <row r="212" spans="1:246" s="83" customFormat="1" ht="30" hidden="1">
      <c r="A212" s="49" t="s">
        <v>31</v>
      </c>
      <c r="B212" s="82"/>
      <c r="C212" s="70">
        <f>SUM(D212:F212)</f>
        <v>649</v>
      </c>
      <c r="D212" s="70"/>
      <c r="E212" s="70"/>
      <c r="F212" s="70">
        <f>F208</f>
        <v>649</v>
      </c>
      <c r="G212" s="70"/>
      <c r="H212" s="74"/>
      <c r="I212" s="74"/>
      <c r="J212" s="74"/>
      <c r="IH212" s="84"/>
      <c r="II212" s="84"/>
      <c r="IJ212" s="84"/>
      <c r="IK212" s="84"/>
      <c r="IL212" s="84"/>
    </row>
    <row r="213" spans="1:246" s="79" customFormat="1" ht="18.75" customHeight="1">
      <c r="A213" s="156" t="s">
        <v>66</v>
      </c>
      <c r="B213" s="156"/>
      <c r="C213" s="26">
        <f>C177+C187+C197+C205</f>
        <v>34799</v>
      </c>
      <c r="D213" s="26">
        <f>D177+D187+D197+D205</f>
        <v>7648</v>
      </c>
      <c r="E213" s="26">
        <f>E177+E187+E197+E205</f>
        <v>8250</v>
      </c>
      <c r="F213" s="26">
        <f>F177+F187+F197+F205</f>
        <v>11598</v>
      </c>
      <c r="G213" s="26">
        <f>G177+G187+G197+G205</f>
        <v>7303</v>
      </c>
      <c r="H213" s="77"/>
      <c r="I213" s="78"/>
      <c r="J213" s="78"/>
      <c r="IH213" s="80"/>
      <c r="II213" s="80"/>
      <c r="IJ213" s="80"/>
      <c r="IK213" s="80"/>
      <c r="IL213" s="80"/>
    </row>
    <row r="214" spans="1:246" s="67" customFormat="1" ht="19.5" customHeight="1">
      <c r="A214" s="160" t="s">
        <v>67</v>
      </c>
      <c r="B214" s="160"/>
      <c r="C214" s="160"/>
      <c r="D214" s="100"/>
      <c r="E214" s="100"/>
      <c r="F214" s="100"/>
      <c r="G214" s="100"/>
      <c r="H214" s="74"/>
      <c r="I214" s="75"/>
      <c r="J214" s="75"/>
      <c r="IH214" s="68"/>
      <c r="II214" s="68"/>
      <c r="IJ214" s="68"/>
      <c r="IK214" s="68"/>
      <c r="IL214" s="68"/>
    </row>
    <row r="215" spans="1:246" s="67" customFormat="1" ht="32.25" customHeight="1" hidden="1">
      <c r="A215" s="102" t="s">
        <v>68</v>
      </c>
      <c r="B215" s="25" t="s">
        <v>69</v>
      </c>
      <c r="C215" s="40" t="e">
        <f>D215+E215+F215+#REF!</f>
        <v>#REF!</v>
      </c>
      <c r="D215" s="40">
        <f>D216+D217+D218</f>
        <v>0</v>
      </c>
      <c r="E215" s="40">
        <f>E216+E217+E218</f>
        <v>0</v>
      </c>
      <c r="F215" s="40">
        <f>F216+F217+F218</f>
        <v>0</v>
      </c>
      <c r="G215" s="40">
        <f>G216+G217+G218</f>
        <v>0</v>
      </c>
      <c r="H215" s="66"/>
      <c r="I215" s="66"/>
      <c r="J215" s="66"/>
      <c r="K215" s="66"/>
      <c r="IH215" s="68"/>
      <c r="II215" s="68"/>
      <c r="IJ215" s="68"/>
      <c r="IK215" s="68"/>
      <c r="IL215" s="68"/>
    </row>
    <row r="216" spans="1:246" s="67" customFormat="1" ht="16.5" customHeight="1" hidden="1">
      <c r="A216" s="43" t="s">
        <v>25</v>
      </c>
      <c r="B216" s="73"/>
      <c r="C216" s="70" t="e">
        <f>D216+E216+F216+#REF!</f>
        <v>#REF!</v>
      </c>
      <c r="D216" s="70">
        <f>ROUNDUP((H216*0.15),0)</f>
        <v>0</v>
      </c>
      <c r="E216" s="70">
        <f>I216*0.15</f>
        <v>0</v>
      </c>
      <c r="F216" s="70">
        <f>J216*0.15</f>
        <v>0</v>
      </c>
      <c r="G216" s="70">
        <f>M216*0.15</f>
        <v>0</v>
      </c>
      <c r="H216" s="154"/>
      <c r="I216" s="154"/>
      <c r="J216" s="155"/>
      <c r="K216" s="155"/>
      <c r="IH216" s="68"/>
      <c r="II216" s="68"/>
      <c r="IJ216" s="68"/>
      <c r="IK216" s="68"/>
      <c r="IL216" s="68"/>
    </row>
    <row r="217" spans="1:246" s="67" customFormat="1" ht="16.5" customHeight="1" hidden="1">
      <c r="A217" s="35" t="s">
        <v>26</v>
      </c>
      <c r="B217" s="73"/>
      <c r="C217" s="70" t="e">
        <f>D217+E217+F217+#REF!</f>
        <v>#REF!</v>
      </c>
      <c r="D217" s="70">
        <f>ROUNDDOWN((H216*0.85),0)</f>
        <v>0</v>
      </c>
      <c r="E217" s="70">
        <f>I216*0.85</f>
        <v>0</v>
      </c>
      <c r="F217" s="70">
        <f>J216*0.85</f>
        <v>0</v>
      </c>
      <c r="G217" s="70">
        <f>M216*0.85</f>
        <v>0</v>
      </c>
      <c r="H217" s="154"/>
      <c r="I217" s="154"/>
      <c r="J217" s="154"/>
      <c r="K217" s="155"/>
      <c r="IH217" s="68"/>
      <c r="II217" s="68"/>
      <c r="IJ217" s="68"/>
      <c r="IK217" s="68"/>
      <c r="IL217" s="68"/>
    </row>
    <row r="218" spans="1:246" s="67" customFormat="1" ht="16.5" customHeight="1" hidden="1">
      <c r="A218" s="35" t="s">
        <v>27</v>
      </c>
      <c r="B218" s="73"/>
      <c r="C218" s="70" t="e">
        <f>D218+E218+F218+#REF!</f>
        <v>#REF!</v>
      </c>
      <c r="D218" s="70">
        <v>0</v>
      </c>
      <c r="E218" s="70">
        <v>0</v>
      </c>
      <c r="F218" s="70">
        <f>J218</f>
        <v>0</v>
      </c>
      <c r="G218" s="70">
        <f>M218</f>
        <v>0</v>
      </c>
      <c r="H218" s="66"/>
      <c r="I218" s="66"/>
      <c r="J218" s="66"/>
      <c r="IH218" s="68"/>
      <c r="II218" s="68"/>
      <c r="IJ218" s="68"/>
      <c r="IK218" s="68"/>
      <c r="IL218" s="68"/>
    </row>
    <row r="219" spans="1:246" s="67" customFormat="1" ht="16.5" customHeight="1" hidden="1">
      <c r="A219" s="35"/>
      <c r="B219" s="73"/>
      <c r="C219" s="70"/>
      <c r="D219" s="70"/>
      <c r="E219" s="70"/>
      <c r="F219" s="70"/>
      <c r="G219" s="70"/>
      <c r="H219" s="74"/>
      <c r="I219" s="75"/>
      <c r="J219" s="75"/>
      <c r="IH219" s="68"/>
      <c r="II219" s="68"/>
      <c r="IJ219" s="68"/>
      <c r="IK219" s="68"/>
      <c r="IL219" s="68"/>
    </row>
    <row r="220" spans="1:246" s="79" customFormat="1" ht="16.5" customHeight="1" hidden="1">
      <c r="A220" s="36"/>
      <c r="B220" s="25"/>
      <c r="C220" s="76" t="e">
        <f>C221+C222+C223+C225+C224</f>
        <v>#REF!</v>
      </c>
      <c r="D220" s="76">
        <f>D221+D222+D223+D225+D224</f>
        <v>0</v>
      </c>
      <c r="E220" s="76">
        <f>E221+E222+E223+E225+E224</f>
        <v>0</v>
      </c>
      <c r="F220" s="76">
        <f>F221+F222+F223+F225+F224</f>
        <v>0</v>
      </c>
      <c r="G220" s="76">
        <f>G221+G222+G223+G225+G224</f>
        <v>0</v>
      </c>
      <c r="H220" s="77"/>
      <c r="I220" s="78"/>
      <c r="J220" s="78"/>
      <c r="IH220" s="80"/>
      <c r="II220" s="80"/>
      <c r="IJ220" s="80"/>
      <c r="IK220" s="80"/>
      <c r="IL220" s="80"/>
    </row>
    <row r="221" spans="1:246" s="67" customFormat="1" ht="16.5" customHeight="1" hidden="1">
      <c r="A221" s="35" t="s">
        <v>28</v>
      </c>
      <c r="B221" s="73"/>
      <c r="C221" s="81" t="e">
        <f>D221+E221+F221+#REF!</f>
        <v>#REF!</v>
      </c>
      <c r="D221" s="81">
        <f>H216*0.13</f>
        <v>0</v>
      </c>
      <c r="E221" s="81">
        <f>I216*0.13</f>
        <v>0</v>
      </c>
      <c r="F221" s="81">
        <f>J216*0.13</f>
        <v>0</v>
      </c>
      <c r="G221" s="81">
        <f>M216*0.13</f>
        <v>0</v>
      </c>
      <c r="H221" s="74"/>
      <c r="I221" s="75"/>
      <c r="J221" s="75"/>
      <c r="IH221" s="68"/>
      <c r="II221" s="68"/>
      <c r="IJ221" s="68"/>
      <c r="IK221" s="68"/>
      <c r="IL221" s="68"/>
    </row>
    <row r="222" spans="1:246" s="67" customFormat="1" ht="16.5" customHeight="1" hidden="1">
      <c r="A222" s="35" t="s">
        <v>29</v>
      </c>
      <c r="B222" s="73"/>
      <c r="C222" s="81" t="e">
        <f>D222+E222+F222+#REF!</f>
        <v>#REF!</v>
      </c>
      <c r="D222" s="81">
        <f>H216*0.85</f>
        <v>0</v>
      </c>
      <c r="E222" s="81">
        <f>I216*0.85</f>
        <v>0</v>
      </c>
      <c r="F222" s="81">
        <f>J216*0.85</f>
        <v>0</v>
      </c>
      <c r="G222" s="81">
        <f>M216*0.85</f>
        <v>0</v>
      </c>
      <c r="H222" s="74"/>
      <c r="I222" s="75"/>
      <c r="J222" s="75"/>
      <c r="IH222" s="68"/>
      <c r="II222" s="68"/>
      <c r="IJ222" s="68"/>
      <c r="IK222" s="68"/>
      <c r="IL222" s="68"/>
    </row>
    <row r="223" spans="1:246" s="67" customFormat="1" ht="16.5" customHeight="1" hidden="1">
      <c r="A223" s="35" t="s">
        <v>30</v>
      </c>
      <c r="B223" s="73"/>
      <c r="C223" s="81" t="e">
        <f>D223+E223+F223+#REF!</f>
        <v>#REF!</v>
      </c>
      <c r="D223" s="81"/>
      <c r="E223" s="81"/>
      <c r="F223" s="81"/>
      <c r="G223" s="81"/>
      <c r="H223" s="74"/>
      <c r="I223" s="75"/>
      <c r="J223" s="75"/>
      <c r="IH223" s="68"/>
      <c r="II223" s="68"/>
      <c r="IJ223" s="68"/>
      <c r="IK223" s="68"/>
      <c r="IL223" s="68"/>
    </row>
    <row r="224" spans="1:246" s="67" customFormat="1" ht="16.5" customHeight="1" hidden="1">
      <c r="A224" s="35" t="s">
        <v>40</v>
      </c>
      <c r="B224" s="73"/>
      <c r="C224" s="81" t="e">
        <f>D224+E224+F224+#REF!</f>
        <v>#REF!</v>
      </c>
      <c r="D224" s="81"/>
      <c r="E224" s="81"/>
      <c r="F224" s="81"/>
      <c r="G224" s="81">
        <v>0</v>
      </c>
      <c r="H224" s="74"/>
      <c r="I224" s="75"/>
      <c r="J224" s="75"/>
      <c r="IH224" s="68"/>
      <c r="II224" s="68"/>
      <c r="IJ224" s="68"/>
      <c r="IK224" s="68"/>
      <c r="IL224" s="68"/>
    </row>
    <row r="225" spans="1:246" s="83" customFormat="1" ht="30" hidden="1">
      <c r="A225" s="49" t="s">
        <v>31</v>
      </c>
      <c r="B225" s="82"/>
      <c r="C225" s="81" t="e">
        <f>D225+E225+F225+#REF!</f>
        <v>#REF!</v>
      </c>
      <c r="D225" s="81">
        <v>0</v>
      </c>
      <c r="E225" s="81">
        <f>E218</f>
        <v>0</v>
      </c>
      <c r="F225" s="81">
        <f>J216*2/100+J218</f>
        <v>0</v>
      </c>
      <c r="G225" s="81">
        <f>M216*2/100+M218</f>
        <v>0</v>
      </c>
      <c r="H225" s="74"/>
      <c r="I225" s="74"/>
      <c r="J225" s="74"/>
      <c r="IH225" s="84"/>
      <c r="II225" s="84"/>
      <c r="IJ225" s="84"/>
      <c r="IK225" s="84"/>
      <c r="IL225" s="84"/>
    </row>
    <row r="226" spans="1:246" s="83" customFormat="1" ht="16.5" customHeight="1">
      <c r="A226" s="102" t="s">
        <v>68</v>
      </c>
      <c r="B226" s="25" t="s">
        <v>70</v>
      </c>
      <c r="C226" s="40">
        <f>D226+E226+F226+G226</f>
        <v>451</v>
      </c>
      <c r="D226" s="100">
        <f>D227+D228+D229</f>
        <v>451</v>
      </c>
      <c r="E226" s="100">
        <v>0</v>
      </c>
      <c r="F226" s="100">
        <v>0</v>
      </c>
      <c r="G226" s="100">
        <v>0</v>
      </c>
      <c r="H226" s="74"/>
      <c r="I226" s="74"/>
      <c r="J226" s="74"/>
      <c r="IH226" s="84"/>
      <c r="II226" s="84"/>
      <c r="IJ226" s="84"/>
      <c r="IK226" s="84"/>
      <c r="IL226" s="84"/>
    </row>
    <row r="227" spans="1:246" s="83" customFormat="1" ht="16.5" customHeight="1">
      <c r="A227" s="43" t="s">
        <v>25</v>
      </c>
      <c r="B227" s="44"/>
      <c r="C227" s="40">
        <f>D227+E227+F227+G227</f>
        <v>68</v>
      </c>
      <c r="D227" s="70">
        <v>68</v>
      </c>
      <c r="E227" s="70">
        <v>0</v>
      </c>
      <c r="F227" s="70">
        <v>0</v>
      </c>
      <c r="G227" s="70">
        <v>0</v>
      </c>
      <c r="H227" s="74"/>
      <c r="I227" s="74"/>
      <c r="J227" s="74"/>
      <c r="IH227" s="84"/>
      <c r="II227" s="84"/>
      <c r="IJ227" s="84"/>
      <c r="IK227" s="84"/>
      <c r="IL227" s="84"/>
    </row>
    <row r="228" spans="1:246" s="83" customFormat="1" ht="16.5" customHeight="1">
      <c r="A228" s="35" t="s">
        <v>26</v>
      </c>
      <c r="B228" s="46"/>
      <c r="C228" s="40">
        <f>D228+E228+F228+G228</f>
        <v>383</v>
      </c>
      <c r="D228" s="70">
        <v>383</v>
      </c>
      <c r="E228" s="70">
        <v>0</v>
      </c>
      <c r="F228" s="70">
        <v>0</v>
      </c>
      <c r="G228" s="70">
        <v>0</v>
      </c>
      <c r="H228" s="74"/>
      <c r="I228" s="74"/>
      <c r="J228" s="74"/>
      <c r="IH228" s="84"/>
      <c r="II228" s="84"/>
      <c r="IJ228" s="84"/>
      <c r="IK228" s="84"/>
      <c r="IL228" s="84"/>
    </row>
    <row r="229" spans="1:246" s="83" customFormat="1" ht="16.5" customHeight="1">
      <c r="A229" s="35" t="s">
        <v>27</v>
      </c>
      <c r="B229" s="47"/>
      <c r="C229" s="40">
        <f>D229+E229+F229+G229</f>
        <v>0</v>
      </c>
      <c r="D229" s="70">
        <v>0</v>
      </c>
      <c r="E229" s="70">
        <v>0</v>
      </c>
      <c r="F229" s="70">
        <v>0</v>
      </c>
      <c r="G229" s="70">
        <v>0</v>
      </c>
      <c r="H229" s="74"/>
      <c r="I229" s="74"/>
      <c r="J229" s="74"/>
      <c r="IH229" s="84"/>
      <c r="II229" s="84"/>
      <c r="IJ229" s="84"/>
      <c r="IK229" s="84"/>
      <c r="IL229" s="84"/>
    </row>
    <row r="230" spans="1:246" s="83" customFormat="1" ht="16.5" customHeight="1" hidden="1">
      <c r="A230" s="35"/>
      <c r="B230" s="73"/>
      <c r="C230" s="70"/>
      <c r="D230" s="70"/>
      <c r="E230" s="70"/>
      <c r="F230" s="70"/>
      <c r="G230" s="70"/>
      <c r="H230" s="74"/>
      <c r="I230" s="74"/>
      <c r="J230" s="74"/>
      <c r="IH230" s="84"/>
      <c r="II230" s="84"/>
      <c r="IJ230" s="84"/>
      <c r="IK230" s="84"/>
      <c r="IL230" s="84"/>
    </row>
    <row r="231" spans="1:246" s="83" customFormat="1" ht="16.5" customHeight="1" hidden="1">
      <c r="A231" s="36"/>
      <c r="B231" s="25"/>
      <c r="C231" s="100">
        <f>C233+C234+C235+C236</f>
        <v>451</v>
      </c>
      <c r="D231" s="100">
        <f>D233+D234+D235+D236</f>
        <v>451</v>
      </c>
      <c r="E231" s="100">
        <f>E232</f>
        <v>6366</v>
      </c>
      <c r="F231" s="100">
        <v>0</v>
      </c>
      <c r="G231" s="100">
        <v>0</v>
      </c>
      <c r="H231" s="74"/>
      <c r="I231" s="74"/>
      <c r="J231" s="74"/>
      <c r="IH231" s="84"/>
      <c r="II231" s="84"/>
      <c r="IJ231" s="84"/>
      <c r="IK231" s="84"/>
      <c r="IL231" s="84"/>
    </row>
    <row r="232" spans="1:246" s="83" customFormat="1" ht="16.5" customHeight="1" hidden="1">
      <c r="A232" s="35" t="s">
        <v>71</v>
      </c>
      <c r="B232" s="25"/>
      <c r="C232" s="40">
        <f>D232+E232+F232+G232</f>
        <v>6366</v>
      </c>
      <c r="D232" s="45">
        <v>0</v>
      </c>
      <c r="E232" s="45">
        <v>6366</v>
      </c>
      <c r="F232" s="45">
        <v>0</v>
      </c>
      <c r="G232" s="45">
        <v>0</v>
      </c>
      <c r="H232" s="74"/>
      <c r="I232" s="74"/>
      <c r="J232" s="74"/>
      <c r="IH232" s="84"/>
      <c r="II232" s="84"/>
      <c r="IJ232" s="84"/>
      <c r="IK232" s="84"/>
      <c r="IL232" s="84"/>
    </row>
    <row r="233" spans="1:246" s="83" customFormat="1" ht="16.5" customHeight="1" hidden="1">
      <c r="A233" s="35" t="s">
        <v>28</v>
      </c>
      <c r="B233" s="73"/>
      <c r="C233" s="70">
        <f>D233+E233+F233+G233</f>
        <v>57</v>
      </c>
      <c r="D233" s="70">
        <v>57</v>
      </c>
      <c r="E233" s="70">
        <v>0</v>
      </c>
      <c r="F233" s="70">
        <v>0</v>
      </c>
      <c r="G233" s="70">
        <f>G231*15%</f>
        <v>0</v>
      </c>
      <c r="H233" s="74"/>
      <c r="I233" s="74"/>
      <c r="J233" s="74"/>
      <c r="IH233" s="84"/>
      <c r="II233" s="84"/>
      <c r="IJ233" s="84"/>
      <c r="IK233" s="84"/>
      <c r="IL233" s="84"/>
    </row>
    <row r="234" spans="1:246" s="83" customFormat="1" ht="16.5" customHeight="1" hidden="1">
      <c r="A234" s="35" t="s">
        <v>29</v>
      </c>
      <c r="B234" s="73"/>
      <c r="C234" s="70">
        <f>SUM(D234:F234)</f>
        <v>383</v>
      </c>
      <c r="D234" s="70">
        <v>383</v>
      </c>
      <c r="E234" s="70">
        <v>0</v>
      </c>
      <c r="F234" s="70">
        <v>0</v>
      </c>
      <c r="G234" s="70">
        <v>0</v>
      </c>
      <c r="H234" s="74"/>
      <c r="I234" s="74"/>
      <c r="J234" s="74"/>
      <c r="IH234" s="84"/>
      <c r="II234" s="84"/>
      <c r="IJ234" s="84"/>
      <c r="IK234" s="84"/>
      <c r="IL234" s="84"/>
    </row>
    <row r="235" spans="1:246" s="83" customFormat="1" ht="16.5" customHeight="1" hidden="1">
      <c r="A235" s="35" t="s">
        <v>30</v>
      </c>
      <c r="B235" s="73"/>
      <c r="C235" s="70"/>
      <c r="D235" s="70">
        <v>0</v>
      </c>
      <c r="E235" s="70">
        <v>0</v>
      </c>
      <c r="F235" s="70">
        <v>0</v>
      </c>
      <c r="G235" s="70">
        <f>G231*0.85</f>
        <v>0</v>
      </c>
      <c r="H235" s="74"/>
      <c r="I235" s="74"/>
      <c r="J235" s="74"/>
      <c r="IH235" s="84"/>
      <c r="II235" s="84"/>
      <c r="IJ235" s="84"/>
      <c r="IK235" s="84"/>
      <c r="IL235" s="84"/>
    </row>
    <row r="236" spans="1:246" s="83" customFormat="1" ht="26.25" customHeight="1" hidden="1">
      <c r="A236" s="49" t="s">
        <v>31</v>
      </c>
      <c r="B236" s="82"/>
      <c r="C236" s="70">
        <f>SUM(D236:F236)</f>
        <v>11</v>
      </c>
      <c r="D236" s="81">
        <v>11</v>
      </c>
      <c r="E236" s="81">
        <v>0</v>
      </c>
      <c r="F236" s="81">
        <v>0</v>
      </c>
      <c r="G236" s="81">
        <v>0</v>
      </c>
      <c r="H236" s="74"/>
      <c r="I236" s="74"/>
      <c r="J236" s="74"/>
      <c r="IH236" s="84"/>
      <c r="II236" s="84"/>
      <c r="IJ236" s="84"/>
      <c r="IK236" s="84"/>
      <c r="IL236" s="84"/>
    </row>
    <row r="237" spans="1:246" s="79" customFormat="1" ht="20.25" customHeight="1">
      <c r="A237" s="156" t="s">
        <v>72</v>
      </c>
      <c r="B237" s="156"/>
      <c r="C237" s="26">
        <f>C226</f>
        <v>451</v>
      </c>
      <c r="D237" s="26">
        <f>D226</f>
        <v>451</v>
      </c>
      <c r="E237" s="26">
        <f>E226</f>
        <v>0</v>
      </c>
      <c r="F237" s="26">
        <f>F226</f>
        <v>0</v>
      </c>
      <c r="G237" s="26">
        <f>G226</f>
        <v>0</v>
      </c>
      <c r="H237" s="77"/>
      <c r="I237" s="78"/>
      <c r="J237" s="78"/>
      <c r="IH237" s="80"/>
      <c r="II237" s="80"/>
      <c r="IJ237" s="80"/>
      <c r="IK237" s="80"/>
      <c r="IL237" s="80"/>
    </row>
    <row r="238" spans="1:246" s="67" customFormat="1" ht="22.5" customHeight="1">
      <c r="A238" s="158" t="s">
        <v>73</v>
      </c>
      <c r="B238" s="158"/>
      <c r="C238" s="158"/>
      <c r="D238" s="45"/>
      <c r="E238" s="45"/>
      <c r="F238" s="45"/>
      <c r="G238" s="103"/>
      <c r="H238" s="74"/>
      <c r="I238" s="75"/>
      <c r="J238" s="75"/>
      <c r="IH238" s="68"/>
      <c r="II238" s="68"/>
      <c r="IJ238" s="68"/>
      <c r="IK238" s="68"/>
      <c r="IL238" s="68"/>
    </row>
    <row r="239" spans="1:246" s="67" customFormat="1" ht="30" customHeight="1">
      <c r="A239" s="65" t="s">
        <v>74</v>
      </c>
      <c r="B239" s="22" t="s">
        <v>75</v>
      </c>
      <c r="C239" s="40">
        <f>D239+E239+F239+G239</f>
        <v>6754</v>
      </c>
      <c r="D239" s="40">
        <f>D240+D241+D242</f>
        <v>2351</v>
      </c>
      <c r="E239" s="40">
        <f>E240+E241+E242</f>
        <v>1845</v>
      </c>
      <c r="F239" s="40">
        <f>F240+F241+F242</f>
        <v>2558</v>
      </c>
      <c r="G239" s="40">
        <f>G240+G241+G242</f>
        <v>0</v>
      </c>
      <c r="H239" s="74"/>
      <c r="I239" s="75"/>
      <c r="J239" s="75"/>
      <c r="IH239" s="68"/>
      <c r="II239" s="68"/>
      <c r="IJ239" s="68"/>
      <c r="IK239" s="68"/>
      <c r="IL239" s="68"/>
    </row>
    <row r="240" spans="1:246" s="67" customFormat="1" ht="16.5" customHeight="1">
      <c r="A240" s="43" t="s">
        <v>25</v>
      </c>
      <c r="B240" s="69"/>
      <c r="C240" s="70">
        <f>D240+E240+F240+G240</f>
        <v>917</v>
      </c>
      <c r="D240" s="70">
        <v>353</v>
      </c>
      <c r="E240" s="70">
        <v>247</v>
      </c>
      <c r="F240" s="70">
        <v>317</v>
      </c>
      <c r="G240" s="70">
        <v>0</v>
      </c>
      <c r="H240" s="74"/>
      <c r="I240" s="75"/>
      <c r="J240" s="75"/>
      <c r="IH240" s="68"/>
      <c r="II240" s="68"/>
      <c r="IJ240" s="68"/>
      <c r="IK240" s="68"/>
      <c r="IL240" s="68"/>
    </row>
    <row r="241" spans="1:246" s="67" customFormat="1" ht="16.5" customHeight="1">
      <c r="A241" s="35" t="s">
        <v>26</v>
      </c>
      <c r="B241" s="71"/>
      <c r="C241" s="70">
        <f>D241+E241+F241+G241</f>
        <v>5191</v>
      </c>
      <c r="D241" s="70">
        <v>1998</v>
      </c>
      <c r="E241" s="70">
        <v>1398</v>
      </c>
      <c r="F241" s="70">
        <v>1795</v>
      </c>
      <c r="G241" s="70">
        <v>0</v>
      </c>
      <c r="H241" s="74"/>
      <c r="I241" s="75"/>
      <c r="J241" s="75"/>
      <c r="IH241" s="68"/>
      <c r="II241" s="68"/>
      <c r="IJ241" s="68"/>
      <c r="IK241" s="68"/>
      <c r="IL241" s="68"/>
    </row>
    <row r="242" spans="1:246" s="67" customFormat="1" ht="16.5" customHeight="1">
      <c r="A242" s="35" t="s">
        <v>27</v>
      </c>
      <c r="B242" s="71"/>
      <c r="C242" s="70">
        <f>D242+E242+F242+G242</f>
        <v>646</v>
      </c>
      <c r="D242" s="70">
        <v>0</v>
      </c>
      <c r="E242" s="70">
        <v>200</v>
      </c>
      <c r="F242" s="70">
        <v>446</v>
      </c>
      <c r="G242" s="70">
        <v>0</v>
      </c>
      <c r="H242" s="74"/>
      <c r="I242" s="75"/>
      <c r="J242" s="75"/>
      <c r="IH242" s="68"/>
      <c r="II242" s="68"/>
      <c r="IJ242" s="68"/>
      <c r="IK242" s="68"/>
      <c r="IL242" s="68"/>
    </row>
    <row r="243" spans="1:246" s="67" customFormat="1" ht="16.5" customHeight="1" hidden="1">
      <c r="A243" s="35"/>
      <c r="B243" s="71"/>
      <c r="C243" s="70"/>
      <c r="D243" s="70"/>
      <c r="E243" s="70"/>
      <c r="F243" s="70"/>
      <c r="G243" s="70"/>
      <c r="H243" s="74"/>
      <c r="I243" s="75"/>
      <c r="J243" s="75"/>
      <c r="IH243" s="68"/>
      <c r="II243" s="68"/>
      <c r="IJ243" s="68"/>
      <c r="IK243" s="68"/>
      <c r="IL243" s="68"/>
    </row>
    <row r="244" spans="1:246" s="79" customFormat="1" ht="16.5" customHeight="1" hidden="1">
      <c r="A244" s="36"/>
      <c r="B244" s="72"/>
      <c r="C244" s="100">
        <f>C245+C246+C247+C248</f>
        <v>6574</v>
      </c>
      <c r="D244" s="100">
        <f>D245+D246+D247+D248</f>
        <v>2171</v>
      </c>
      <c r="E244" s="100">
        <f>E245+E246+E247+E248</f>
        <v>1845</v>
      </c>
      <c r="F244" s="100">
        <f>F245+F246+F247+F248</f>
        <v>2558</v>
      </c>
      <c r="G244" s="100">
        <f>G245+G246+G247+G248</f>
        <v>0</v>
      </c>
      <c r="H244" s="77"/>
      <c r="I244" s="78"/>
      <c r="J244" s="78"/>
      <c r="IH244" s="80"/>
      <c r="II244" s="80"/>
      <c r="IJ244" s="80"/>
      <c r="IK244" s="80"/>
      <c r="IL244" s="80"/>
    </row>
    <row r="245" spans="1:246" s="67" customFormat="1" ht="16.5" customHeight="1" hidden="1">
      <c r="A245" s="35" t="s">
        <v>28</v>
      </c>
      <c r="B245" s="73"/>
      <c r="C245" s="70">
        <f>SUM(D245:F245)</f>
        <v>795</v>
      </c>
      <c r="D245" s="70">
        <v>306</v>
      </c>
      <c r="E245" s="70">
        <v>214</v>
      </c>
      <c r="F245" s="70">
        <v>275</v>
      </c>
      <c r="G245" s="70">
        <v>0</v>
      </c>
      <c r="H245" s="74"/>
      <c r="I245" s="75"/>
      <c r="J245" s="75"/>
      <c r="IH245" s="68"/>
      <c r="II245" s="68"/>
      <c r="IJ245" s="68"/>
      <c r="IK245" s="68"/>
      <c r="IL245" s="68"/>
    </row>
    <row r="246" spans="1:246" s="67" customFormat="1" ht="16.5" customHeight="1" hidden="1">
      <c r="A246" s="35" t="s">
        <v>29</v>
      </c>
      <c r="B246" s="73"/>
      <c r="C246" s="70">
        <f>SUM(D246:F246)</f>
        <v>5011</v>
      </c>
      <c r="D246" s="70">
        <f>1998-180</f>
        <v>1818</v>
      </c>
      <c r="E246" s="70">
        <v>1398</v>
      </c>
      <c r="F246" s="70">
        <v>1795</v>
      </c>
      <c r="G246" s="70">
        <v>0</v>
      </c>
      <c r="H246" s="74"/>
      <c r="I246" s="75"/>
      <c r="J246" s="75"/>
      <c r="IH246" s="68"/>
      <c r="II246" s="68"/>
      <c r="IJ246" s="68"/>
      <c r="IK246" s="68"/>
      <c r="IL246" s="68"/>
    </row>
    <row r="247" spans="1:246" s="67" customFormat="1" ht="16.5" customHeight="1" hidden="1">
      <c r="A247" s="35" t="s">
        <v>30</v>
      </c>
      <c r="B247" s="73"/>
      <c r="C247" s="70">
        <f>SUM(D247:F247)</f>
        <v>0</v>
      </c>
      <c r="D247" s="70">
        <v>0</v>
      </c>
      <c r="E247" s="70">
        <v>0</v>
      </c>
      <c r="F247" s="70">
        <v>0</v>
      </c>
      <c r="G247" s="70">
        <v>0</v>
      </c>
      <c r="H247" s="74"/>
      <c r="I247" s="75"/>
      <c r="J247" s="75"/>
      <c r="IH247" s="68"/>
      <c r="II247" s="68"/>
      <c r="IJ247" s="68"/>
      <c r="IK247" s="68"/>
      <c r="IL247" s="68"/>
    </row>
    <row r="248" spans="1:246" s="83" customFormat="1" ht="30" hidden="1">
      <c r="A248" s="49" t="s">
        <v>31</v>
      </c>
      <c r="B248" s="82"/>
      <c r="C248" s="70">
        <f>SUM(D248:F248)</f>
        <v>768</v>
      </c>
      <c r="D248" s="101">
        <v>47</v>
      </c>
      <c r="E248" s="70">
        <v>233</v>
      </c>
      <c r="F248" s="70">
        <v>488</v>
      </c>
      <c r="G248" s="70">
        <v>0</v>
      </c>
      <c r="H248" s="74"/>
      <c r="I248" s="74"/>
      <c r="J248" s="74"/>
      <c r="IH248" s="84"/>
      <c r="II248" s="84"/>
      <c r="IJ248" s="84"/>
      <c r="IK248" s="84"/>
      <c r="IL248" s="84"/>
    </row>
    <row r="249" spans="1:246" s="67" customFormat="1" ht="16.5" customHeight="1" hidden="1">
      <c r="A249" s="35"/>
      <c r="B249" s="73"/>
      <c r="C249" s="31"/>
      <c r="D249" s="31"/>
      <c r="E249" s="31"/>
      <c r="F249" s="45"/>
      <c r="G249" s="103"/>
      <c r="H249" s="74"/>
      <c r="I249" s="75"/>
      <c r="J249" s="75"/>
      <c r="IH249" s="68"/>
      <c r="II249" s="68"/>
      <c r="IJ249" s="68"/>
      <c r="IK249" s="68"/>
      <c r="IL249" s="68"/>
    </row>
    <row r="250" spans="1:246" s="67" customFormat="1" ht="29.25" customHeight="1">
      <c r="A250" s="65" t="s">
        <v>74</v>
      </c>
      <c r="B250" s="25" t="s">
        <v>76</v>
      </c>
      <c r="C250" s="26">
        <f>C251+C252+C253</f>
        <v>2643</v>
      </c>
      <c r="D250" s="37">
        <f>D251+D252+D253</f>
        <v>2643</v>
      </c>
      <c r="E250" s="37">
        <f>E251+E252+E253</f>
        <v>0</v>
      </c>
      <c r="F250" s="104">
        <f>F251+F252+F253</f>
        <v>0</v>
      </c>
      <c r="G250" s="105">
        <f>G251+G252+G253</f>
        <v>0</v>
      </c>
      <c r="H250" s="74"/>
      <c r="I250" s="75"/>
      <c r="J250" s="75"/>
      <c r="IH250" s="68"/>
      <c r="II250" s="68"/>
      <c r="IJ250" s="68"/>
      <c r="IK250" s="68"/>
      <c r="IL250" s="68"/>
    </row>
    <row r="251" spans="1:246" s="67" customFormat="1" ht="17.25" customHeight="1">
      <c r="A251" s="43" t="s">
        <v>77</v>
      </c>
      <c r="B251" s="30" t="s">
        <v>14</v>
      </c>
      <c r="C251" s="31">
        <f>D251+E251+F251+G251</f>
        <v>2221</v>
      </c>
      <c r="D251" s="32">
        <v>2221</v>
      </c>
      <c r="E251" s="32">
        <v>0</v>
      </c>
      <c r="F251" s="106">
        <v>0</v>
      </c>
      <c r="G251" s="107">
        <v>0</v>
      </c>
      <c r="H251" s="74"/>
      <c r="I251" s="75"/>
      <c r="J251" s="75"/>
      <c r="IH251" s="68"/>
      <c r="II251" s="68"/>
      <c r="IJ251" s="68"/>
      <c r="IK251" s="68"/>
      <c r="IL251" s="68"/>
    </row>
    <row r="252" spans="1:246" s="67" customFormat="1" ht="16.5" customHeight="1">
      <c r="A252" s="43" t="s">
        <v>78</v>
      </c>
      <c r="B252" s="30" t="s">
        <v>16</v>
      </c>
      <c r="C252" s="31">
        <f>D252+E252+F252+G252</f>
        <v>0</v>
      </c>
      <c r="D252" s="32">
        <v>0</v>
      </c>
      <c r="E252" s="32">
        <v>0</v>
      </c>
      <c r="F252" s="106">
        <v>0</v>
      </c>
      <c r="G252" s="107">
        <v>0</v>
      </c>
      <c r="H252" s="74"/>
      <c r="I252" s="75"/>
      <c r="J252" s="75"/>
      <c r="IH252" s="68"/>
      <c r="II252" s="68"/>
      <c r="IJ252" s="68"/>
      <c r="IK252" s="68"/>
      <c r="IL252" s="68"/>
    </row>
    <row r="253" spans="1:246" s="67" customFormat="1" ht="17.25" customHeight="1">
      <c r="A253" s="35" t="s">
        <v>79</v>
      </c>
      <c r="B253" s="30" t="s">
        <v>18</v>
      </c>
      <c r="C253" s="31">
        <f>D253+E253+F253+G253</f>
        <v>422</v>
      </c>
      <c r="D253" s="32">
        <v>422</v>
      </c>
      <c r="E253" s="32">
        <v>0</v>
      </c>
      <c r="F253" s="106">
        <v>0</v>
      </c>
      <c r="G253" s="107">
        <v>0</v>
      </c>
      <c r="H253" s="74"/>
      <c r="I253" s="75"/>
      <c r="J253" s="75"/>
      <c r="IH253" s="68"/>
      <c r="II253" s="68"/>
      <c r="IJ253" s="68"/>
      <c r="IK253" s="68"/>
      <c r="IL253" s="68"/>
    </row>
    <row r="254" spans="1:246" s="67" customFormat="1" ht="16.5" customHeight="1" hidden="1">
      <c r="A254" s="35"/>
      <c r="B254" s="73"/>
      <c r="C254" s="31"/>
      <c r="D254" s="32"/>
      <c r="E254" s="32"/>
      <c r="F254" s="106"/>
      <c r="G254" s="107"/>
      <c r="H254" s="74"/>
      <c r="I254" s="75"/>
      <c r="J254" s="75"/>
      <c r="IH254" s="68"/>
      <c r="II254" s="68"/>
      <c r="IJ254" s="68"/>
      <c r="IK254" s="68"/>
      <c r="IL254" s="68"/>
    </row>
    <row r="255" spans="1:246" s="67" customFormat="1" ht="15" customHeight="1" hidden="1">
      <c r="A255" s="36"/>
      <c r="B255" s="73" t="s">
        <v>42</v>
      </c>
      <c r="C255" s="26">
        <f>C256+C257+C258</f>
        <v>2643</v>
      </c>
      <c r="D255" s="37">
        <f>D256+D257+D258</f>
        <v>2643</v>
      </c>
      <c r="E255" s="37">
        <f>E256+E257+E258</f>
        <v>0</v>
      </c>
      <c r="F255" s="104">
        <f>F256+F257+F258</f>
        <v>0</v>
      </c>
      <c r="G255" s="105">
        <f>G256+G257+G258</f>
        <v>0</v>
      </c>
      <c r="H255" s="74"/>
      <c r="I255" s="75"/>
      <c r="J255" s="75"/>
      <c r="IH255" s="68"/>
      <c r="II255" s="68"/>
      <c r="IJ255" s="68"/>
      <c r="IK255" s="68"/>
      <c r="IL255" s="68"/>
    </row>
    <row r="256" spans="1:246" s="67" customFormat="1" ht="15" customHeight="1" hidden="1">
      <c r="A256" s="35" t="s">
        <v>52</v>
      </c>
      <c r="B256" s="73"/>
      <c r="C256" s="31">
        <f>D256+E256+F256+G256</f>
        <v>2221</v>
      </c>
      <c r="D256" s="32">
        <f>2221</f>
        <v>2221</v>
      </c>
      <c r="E256" s="32">
        <v>0</v>
      </c>
      <c r="F256" s="106">
        <v>0</v>
      </c>
      <c r="G256" s="107">
        <v>0</v>
      </c>
      <c r="H256" s="74"/>
      <c r="I256" s="75"/>
      <c r="J256" s="75"/>
      <c r="IH256" s="68"/>
      <c r="II256" s="68"/>
      <c r="IJ256" s="68"/>
      <c r="IK256" s="68"/>
      <c r="IL256" s="68"/>
    </row>
    <row r="257" spans="1:246" s="67" customFormat="1" ht="15.75" customHeight="1" hidden="1">
      <c r="A257" s="35" t="s">
        <v>53</v>
      </c>
      <c r="B257" s="73"/>
      <c r="C257" s="31">
        <f>D257+E257+F257+G257</f>
        <v>0</v>
      </c>
      <c r="D257" s="32">
        <v>0</v>
      </c>
      <c r="E257" s="32">
        <v>0</v>
      </c>
      <c r="F257" s="106">
        <v>0</v>
      </c>
      <c r="G257" s="107">
        <v>0</v>
      </c>
      <c r="H257" s="74"/>
      <c r="I257" s="75"/>
      <c r="J257" s="75"/>
      <c r="IH257" s="68"/>
      <c r="II257" s="68"/>
      <c r="IJ257" s="68"/>
      <c r="IK257" s="68"/>
      <c r="IL257" s="68"/>
    </row>
    <row r="258" spans="1:246" s="67" customFormat="1" ht="17.25" customHeight="1" hidden="1">
      <c r="A258" s="35" t="s">
        <v>54</v>
      </c>
      <c r="B258" s="73"/>
      <c r="C258" s="31">
        <f>D258+E258+F258+G258</f>
        <v>422</v>
      </c>
      <c r="D258" s="32">
        <f>422</f>
        <v>422</v>
      </c>
      <c r="E258" s="32">
        <v>0</v>
      </c>
      <c r="F258" s="106">
        <v>0</v>
      </c>
      <c r="G258" s="107">
        <v>0</v>
      </c>
      <c r="H258" s="74"/>
      <c r="I258" s="75"/>
      <c r="J258" s="75"/>
      <c r="IH258" s="68"/>
      <c r="II258" s="68"/>
      <c r="IJ258" s="68"/>
      <c r="IK258" s="68"/>
      <c r="IL258" s="68"/>
    </row>
    <row r="259" spans="1:246" s="67" customFormat="1" ht="17.25" customHeight="1" hidden="1">
      <c r="A259" s="35"/>
      <c r="B259" s="73"/>
      <c r="C259" s="31"/>
      <c r="D259" s="32"/>
      <c r="E259" s="32"/>
      <c r="F259" s="106"/>
      <c r="G259" s="107"/>
      <c r="H259" s="74"/>
      <c r="I259" s="75"/>
      <c r="J259" s="75"/>
      <c r="IH259" s="68"/>
      <c r="II259" s="68"/>
      <c r="IJ259" s="68"/>
      <c r="IK259" s="68"/>
      <c r="IL259" s="68"/>
    </row>
    <row r="260" spans="1:246" s="67" customFormat="1" ht="17.25" customHeight="1" hidden="1">
      <c r="A260" s="35"/>
      <c r="B260" s="73"/>
      <c r="C260" s="26">
        <f>C261+C262+C263</f>
        <v>6592</v>
      </c>
      <c r="D260" s="37">
        <f>D261+D262+D263</f>
        <v>0</v>
      </c>
      <c r="E260" s="37">
        <f>E261+E262+E263</f>
        <v>0</v>
      </c>
      <c r="F260" s="104">
        <f>F261+F262+F263</f>
        <v>6592</v>
      </c>
      <c r="G260" s="105">
        <f>G261+G262+G263</f>
        <v>0</v>
      </c>
      <c r="H260" s="74"/>
      <c r="I260" s="75"/>
      <c r="J260" s="75"/>
      <c r="IH260" s="68"/>
      <c r="II260" s="68"/>
      <c r="IJ260" s="68"/>
      <c r="IK260" s="68"/>
      <c r="IL260" s="68"/>
    </row>
    <row r="261" spans="1:246" s="83" customFormat="1" ht="15.75" customHeight="1">
      <c r="A261" s="29" t="s">
        <v>13</v>
      </c>
      <c r="B261" s="30" t="s">
        <v>14</v>
      </c>
      <c r="C261" s="108">
        <f>D261+E261+F261+G261</f>
        <v>5539</v>
      </c>
      <c r="D261" s="109">
        <v>0</v>
      </c>
      <c r="E261" s="109">
        <v>0</v>
      </c>
      <c r="F261" s="109">
        <v>5539</v>
      </c>
      <c r="G261" s="109">
        <v>0</v>
      </c>
      <c r="H261" s="74"/>
      <c r="I261" s="74"/>
      <c r="J261" s="74"/>
      <c r="IH261" s="84"/>
      <c r="II261" s="84"/>
      <c r="IJ261" s="84"/>
      <c r="IK261" s="84"/>
      <c r="IL261" s="84"/>
    </row>
    <row r="262" spans="1:246" s="83" customFormat="1" ht="17.25" customHeight="1">
      <c r="A262" s="29" t="s">
        <v>15</v>
      </c>
      <c r="B262" s="30" t="s">
        <v>16</v>
      </c>
      <c r="C262" s="108">
        <f>D262+E262+F262+G262</f>
        <v>0</v>
      </c>
      <c r="D262" s="109">
        <v>0</v>
      </c>
      <c r="E262" s="109">
        <v>0</v>
      </c>
      <c r="F262" s="109">
        <v>0</v>
      </c>
      <c r="G262" s="109">
        <v>0</v>
      </c>
      <c r="H262" s="74"/>
      <c r="I262" s="74"/>
      <c r="J262" s="74"/>
      <c r="IH262" s="84"/>
      <c r="II262" s="84"/>
      <c r="IJ262" s="84"/>
      <c r="IK262" s="84"/>
      <c r="IL262" s="84"/>
    </row>
    <row r="263" spans="1:246" s="83" customFormat="1" ht="17.25" customHeight="1">
      <c r="A263" s="34" t="s">
        <v>17</v>
      </c>
      <c r="B263" s="30" t="s">
        <v>18</v>
      </c>
      <c r="C263" s="108">
        <f>D263+E263+F263+G263</f>
        <v>1053</v>
      </c>
      <c r="D263" s="109">
        <v>0</v>
      </c>
      <c r="E263" s="109">
        <v>0</v>
      </c>
      <c r="F263" s="109">
        <v>1053</v>
      </c>
      <c r="G263" s="109">
        <v>0</v>
      </c>
      <c r="H263" s="74"/>
      <c r="I263" s="74"/>
      <c r="J263" s="74"/>
      <c r="IH263" s="84"/>
      <c r="II263" s="84"/>
      <c r="IJ263" s="84"/>
      <c r="IK263" s="84"/>
      <c r="IL263" s="84"/>
    </row>
    <row r="264" spans="1:246" s="83" customFormat="1" ht="17.25" customHeight="1" hidden="1">
      <c r="A264" s="34"/>
      <c r="B264" s="110"/>
      <c r="C264" s="101"/>
      <c r="D264" s="109"/>
      <c r="E264" s="109"/>
      <c r="F264" s="109"/>
      <c r="G264" s="109"/>
      <c r="H264" s="74"/>
      <c r="I264" s="74"/>
      <c r="J264" s="74"/>
      <c r="IH264" s="84"/>
      <c r="II264" s="84"/>
      <c r="IJ264" s="84"/>
      <c r="IK264" s="84"/>
      <c r="IL264" s="84"/>
    </row>
    <row r="265" spans="1:246" s="83" customFormat="1" ht="17.25" customHeight="1" hidden="1">
      <c r="A265" s="111"/>
      <c r="B265" s="99"/>
      <c r="C265" s="41">
        <f>C266+C267+C268</f>
        <v>6592</v>
      </c>
      <c r="D265" s="27">
        <f>D266+D267+D268</f>
        <v>0</v>
      </c>
      <c r="E265" s="27">
        <f>E266+E267+E268</f>
        <v>0</v>
      </c>
      <c r="F265" s="27">
        <f>F266+F267+F268</f>
        <v>6592</v>
      </c>
      <c r="G265" s="27">
        <f>G266+G267+G268</f>
        <v>0</v>
      </c>
      <c r="H265" s="74"/>
      <c r="I265" s="74"/>
      <c r="J265" s="74"/>
      <c r="IH265" s="84"/>
      <c r="II265" s="84"/>
      <c r="IJ265" s="84"/>
      <c r="IK265" s="84"/>
      <c r="IL265" s="84"/>
    </row>
    <row r="266" spans="1:246" s="83" customFormat="1" ht="17.25" customHeight="1" hidden="1">
      <c r="A266" s="34" t="s">
        <v>19</v>
      </c>
      <c r="B266" s="38" t="s">
        <v>14</v>
      </c>
      <c r="C266" s="101">
        <f>C261</f>
        <v>5539</v>
      </c>
      <c r="D266" s="109">
        <v>0</v>
      </c>
      <c r="E266" s="109">
        <v>0</v>
      </c>
      <c r="F266" s="109">
        <v>5539</v>
      </c>
      <c r="G266" s="109">
        <v>0</v>
      </c>
      <c r="H266" s="74"/>
      <c r="I266" s="74"/>
      <c r="J266" s="74"/>
      <c r="IH266" s="84"/>
      <c r="II266" s="84"/>
      <c r="IJ266" s="84"/>
      <c r="IK266" s="84"/>
      <c r="IL266" s="84"/>
    </row>
    <row r="267" spans="1:246" s="83" customFormat="1" ht="18.75" customHeight="1" hidden="1">
      <c r="A267" s="34" t="s">
        <v>20</v>
      </c>
      <c r="B267" s="38" t="s">
        <v>21</v>
      </c>
      <c r="C267" s="101">
        <f>C262</f>
        <v>0</v>
      </c>
      <c r="D267" s="109">
        <v>0</v>
      </c>
      <c r="E267" s="109">
        <v>0</v>
      </c>
      <c r="F267" s="109">
        <v>0</v>
      </c>
      <c r="G267" s="109">
        <v>0</v>
      </c>
      <c r="H267" s="74"/>
      <c r="I267" s="74"/>
      <c r="J267" s="74"/>
      <c r="IH267" s="84"/>
      <c r="II267" s="84"/>
      <c r="IJ267" s="84"/>
      <c r="IK267" s="84"/>
      <c r="IL267" s="84"/>
    </row>
    <row r="268" spans="1:246" s="83" customFormat="1" ht="16.5" customHeight="1" hidden="1">
      <c r="A268" s="34" t="s">
        <v>22</v>
      </c>
      <c r="B268" s="38" t="s">
        <v>18</v>
      </c>
      <c r="C268" s="101">
        <f>C263</f>
        <v>1053</v>
      </c>
      <c r="D268" s="109">
        <v>0</v>
      </c>
      <c r="E268" s="109">
        <v>0</v>
      </c>
      <c r="F268" s="109">
        <v>1053</v>
      </c>
      <c r="G268" s="109">
        <v>0</v>
      </c>
      <c r="H268" s="74"/>
      <c r="I268" s="74"/>
      <c r="J268" s="74"/>
      <c r="IH268" s="84"/>
      <c r="II268" s="84"/>
      <c r="IJ268" s="84"/>
      <c r="IK268" s="84"/>
      <c r="IL268" s="84"/>
    </row>
    <row r="269" spans="1:246" s="67" customFormat="1" ht="30" customHeight="1">
      <c r="A269" s="65" t="s">
        <v>80</v>
      </c>
      <c r="B269" s="22" t="s">
        <v>81</v>
      </c>
      <c r="C269" s="40">
        <f>C270+C271+C272</f>
        <v>261</v>
      </c>
      <c r="D269" s="104">
        <f>D270+D271+D272</f>
        <v>149</v>
      </c>
      <c r="E269" s="104">
        <f>E270+E271+E272</f>
        <v>0</v>
      </c>
      <c r="F269" s="104">
        <f>F270+F271+F272</f>
        <v>112</v>
      </c>
      <c r="G269" s="104">
        <f>G270+G271+G272</f>
        <v>0</v>
      </c>
      <c r="H269" s="74"/>
      <c r="I269" s="75"/>
      <c r="J269" s="75"/>
      <c r="IH269" s="68"/>
      <c r="II269" s="68"/>
      <c r="IJ269" s="68"/>
      <c r="IK269" s="68"/>
      <c r="IL269" s="68"/>
    </row>
    <row r="270" spans="1:246" s="67" customFormat="1" ht="16.5" customHeight="1">
      <c r="A270" s="43" t="s">
        <v>77</v>
      </c>
      <c r="B270" s="30" t="s">
        <v>14</v>
      </c>
      <c r="C270" s="70">
        <f>D270+E270+F270+G270</f>
        <v>219</v>
      </c>
      <c r="D270" s="112">
        <v>125</v>
      </c>
      <c r="E270" s="112">
        <v>0</v>
      </c>
      <c r="F270" s="112">
        <v>94</v>
      </c>
      <c r="G270" s="112">
        <v>0</v>
      </c>
      <c r="H270" s="74"/>
      <c r="I270" s="75"/>
      <c r="J270" s="75"/>
      <c r="IH270" s="68"/>
      <c r="II270" s="68"/>
      <c r="IJ270" s="68"/>
      <c r="IK270" s="68"/>
      <c r="IL270" s="68"/>
    </row>
    <row r="271" spans="1:246" s="67" customFormat="1" ht="16.5" customHeight="1">
      <c r="A271" s="43" t="s">
        <v>78</v>
      </c>
      <c r="B271" s="30" t="s">
        <v>16</v>
      </c>
      <c r="C271" s="70">
        <f>D271+E271+F271+G271</f>
        <v>0</v>
      </c>
      <c r="D271" s="112">
        <v>0</v>
      </c>
      <c r="E271" s="112">
        <v>0</v>
      </c>
      <c r="F271" s="112">
        <v>0</v>
      </c>
      <c r="G271" s="112">
        <v>0</v>
      </c>
      <c r="H271" s="74"/>
      <c r="I271" s="75"/>
      <c r="J271" s="75"/>
      <c r="IH271" s="68"/>
      <c r="II271" s="68"/>
      <c r="IJ271" s="68"/>
      <c r="IK271" s="68"/>
      <c r="IL271" s="68"/>
    </row>
    <row r="272" spans="1:246" s="67" customFormat="1" ht="16.5" customHeight="1">
      <c r="A272" s="35" t="s">
        <v>79</v>
      </c>
      <c r="B272" s="30" t="s">
        <v>18</v>
      </c>
      <c r="C272" s="70">
        <f>D272+E272+F272+G272</f>
        <v>42</v>
      </c>
      <c r="D272" s="112">
        <v>24</v>
      </c>
      <c r="E272" s="112">
        <v>0</v>
      </c>
      <c r="F272" s="112">
        <v>18</v>
      </c>
      <c r="G272" s="112">
        <v>0</v>
      </c>
      <c r="H272" s="74"/>
      <c r="I272" s="75"/>
      <c r="J272" s="75"/>
      <c r="IH272" s="68"/>
      <c r="II272" s="68"/>
      <c r="IJ272" s="68"/>
      <c r="IK272" s="68"/>
      <c r="IL272" s="68"/>
    </row>
    <row r="273" spans="1:246" s="67" customFormat="1" ht="16.5" customHeight="1" hidden="1">
      <c r="A273" s="35"/>
      <c r="B273" s="73"/>
      <c r="C273" s="70"/>
      <c r="D273" s="112"/>
      <c r="E273" s="112"/>
      <c r="F273" s="112"/>
      <c r="G273" s="112"/>
      <c r="H273" s="74"/>
      <c r="I273" s="75"/>
      <c r="J273" s="75"/>
      <c r="IH273" s="68"/>
      <c r="II273" s="68"/>
      <c r="IJ273" s="68"/>
      <c r="IK273" s="68"/>
      <c r="IL273" s="68"/>
    </row>
    <row r="274" spans="1:246" s="67" customFormat="1" ht="16.5" customHeight="1" hidden="1">
      <c r="A274" s="36"/>
      <c r="B274" s="25"/>
      <c r="C274" s="100">
        <f>C275+C276+C277</f>
        <v>261</v>
      </c>
      <c r="D274" s="113">
        <f>D275+D276+D277</f>
        <v>149</v>
      </c>
      <c r="E274" s="113">
        <f>E275+E276+E277</f>
        <v>0</v>
      </c>
      <c r="F274" s="113">
        <f>F275+F276+F277+F278+F279+F280</f>
        <v>112</v>
      </c>
      <c r="G274" s="113">
        <f>G275+G276+G277+G278+G279+G280</f>
        <v>0</v>
      </c>
      <c r="H274" s="74"/>
      <c r="I274" s="75"/>
      <c r="J274" s="75"/>
      <c r="IH274" s="68"/>
      <c r="II274" s="68"/>
      <c r="IJ274" s="68"/>
      <c r="IK274" s="68"/>
      <c r="IL274" s="68"/>
    </row>
    <row r="275" spans="1:246" s="67" customFormat="1" ht="16.5" customHeight="1" hidden="1">
      <c r="A275" s="35" t="s">
        <v>52</v>
      </c>
      <c r="B275" s="73"/>
      <c r="C275" s="70">
        <f>SUM(D275:F275)</f>
        <v>219</v>
      </c>
      <c r="D275" s="112">
        <v>125</v>
      </c>
      <c r="E275" s="112">
        <v>0</v>
      </c>
      <c r="F275" s="112">
        <v>94</v>
      </c>
      <c r="G275" s="112">
        <v>0</v>
      </c>
      <c r="H275" s="74"/>
      <c r="I275" s="75"/>
      <c r="J275" s="75"/>
      <c r="IH275" s="68"/>
      <c r="II275" s="68"/>
      <c r="IJ275" s="68"/>
      <c r="IK275" s="68"/>
      <c r="IL275" s="68"/>
    </row>
    <row r="276" spans="1:246" s="67" customFormat="1" ht="16.5" customHeight="1" hidden="1">
      <c r="A276" s="35" t="s">
        <v>53</v>
      </c>
      <c r="B276" s="73"/>
      <c r="C276" s="70">
        <f>SUM(D276:F276)</f>
        <v>0</v>
      </c>
      <c r="D276" s="112">
        <v>0</v>
      </c>
      <c r="E276" s="112">
        <v>0</v>
      </c>
      <c r="F276" s="112">
        <v>0</v>
      </c>
      <c r="G276" s="112">
        <v>0</v>
      </c>
      <c r="H276" s="74"/>
      <c r="I276" s="75"/>
      <c r="J276" s="75"/>
      <c r="IH276" s="68"/>
      <c r="II276" s="68"/>
      <c r="IJ276" s="68"/>
      <c r="IK276" s="68"/>
      <c r="IL276" s="68"/>
    </row>
    <row r="277" spans="1:246" s="67" customFormat="1" ht="16.5" customHeight="1" hidden="1">
      <c r="A277" s="35" t="s">
        <v>54</v>
      </c>
      <c r="B277" s="73"/>
      <c r="C277" s="70">
        <f>SUM(D277:F277)</f>
        <v>42</v>
      </c>
      <c r="D277" s="112">
        <v>24</v>
      </c>
      <c r="E277" s="112">
        <v>0</v>
      </c>
      <c r="F277" s="112">
        <v>18</v>
      </c>
      <c r="G277" s="112">
        <v>0</v>
      </c>
      <c r="H277" s="74"/>
      <c r="I277" s="75"/>
      <c r="J277" s="75"/>
      <c r="IH277" s="68"/>
      <c r="II277" s="68"/>
      <c r="IJ277" s="68"/>
      <c r="IK277" s="68"/>
      <c r="IL277" s="68"/>
    </row>
    <row r="278" spans="1:246" s="83" customFormat="1" ht="30">
      <c r="A278" s="65" t="s">
        <v>80</v>
      </c>
      <c r="B278" s="22" t="s">
        <v>82</v>
      </c>
      <c r="C278" s="40">
        <f>C279+C280+C281</f>
        <v>280</v>
      </c>
      <c r="D278" s="104">
        <f>D279+D280+D281</f>
        <v>100</v>
      </c>
      <c r="E278" s="104">
        <f>E279+E280+E281</f>
        <v>180</v>
      </c>
      <c r="F278" s="104">
        <f>F279+F280+F281</f>
        <v>0</v>
      </c>
      <c r="G278" s="104">
        <f>G279+G280+G281</f>
        <v>0</v>
      </c>
      <c r="H278" s="74"/>
      <c r="I278" s="74"/>
      <c r="J278" s="74"/>
      <c r="IH278" s="84"/>
      <c r="II278" s="84"/>
      <c r="IJ278" s="84"/>
      <c r="IK278" s="84"/>
      <c r="IL278" s="84"/>
    </row>
    <row r="279" spans="1:246" s="83" customFormat="1" ht="16.5" customHeight="1">
      <c r="A279" s="43" t="s">
        <v>77</v>
      </c>
      <c r="B279" s="30" t="s">
        <v>14</v>
      </c>
      <c r="C279" s="70">
        <f>D279+E279+F279+G279</f>
        <v>224</v>
      </c>
      <c r="D279" s="112">
        <v>80</v>
      </c>
      <c r="E279" s="112">
        <v>144</v>
      </c>
      <c r="F279" s="112">
        <v>0</v>
      </c>
      <c r="G279" s="112">
        <v>0</v>
      </c>
      <c r="H279" s="74"/>
      <c r="I279" s="74"/>
      <c r="J279" s="74"/>
      <c r="IH279" s="84"/>
      <c r="II279" s="84"/>
      <c r="IJ279" s="84"/>
      <c r="IK279" s="84"/>
      <c r="IL279" s="84"/>
    </row>
    <row r="280" spans="1:246" s="83" customFormat="1" ht="16.5" customHeight="1">
      <c r="A280" s="43" t="s">
        <v>78</v>
      </c>
      <c r="B280" s="30" t="s">
        <v>16</v>
      </c>
      <c r="C280" s="70">
        <f>D280+E280+F280+G280</f>
        <v>0</v>
      </c>
      <c r="D280" s="112">
        <v>0</v>
      </c>
      <c r="E280" s="112">
        <v>0</v>
      </c>
      <c r="F280" s="112">
        <v>0</v>
      </c>
      <c r="G280" s="112">
        <v>0</v>
      </c>
      <c r="H280" s="74"/>
      <c r="I280" s="74"/>
      <c r="J280" s="74"/>
      <c r="IH280" s="84"/>
      <c r="II280" s="84"/>
      <c r="IJ280" s="84"/>
      <c r="IK280" s="84"/>
      <c r="IL280" s="84"/>
    </row>
    <row r="281" spans="1:246" s="83" customFormat="1" ht="16.5" customHeight="1">
      <c r="A281" s="35" t="s">
        <v>79</v>
      </c>
      <c r="B281" s="30" t="s">
        <v>18</v>
      </c>
      <c r="C281" s="70">
        <f>D281+E281+F281+G281</f>
        <v>56</v>
      </c>
      <c r="D281" s="112">
        <v>20</v>
      </c>
      <c r="E281" s="112">
        <v>36</v>
      </c>
      <c r="F281" s="112">
        <v>0</v>
      </c>
      <c r="G281" s="112">
        <v>0</v>
      </c>
      <c r="H281" s="74"/>
      <c r="I281" s="74"/>
      <c r="J281" s="74"/>
      <c r="IH281" s="84"/>
      <c r="II281" s="84"/>
      <c r="IJ281" s="84"/>
      <c r="IK281" s="84"/>
      <c r="IL281" s="84"/>
    </row>
    <row r="282" spans="1:246" s="83" customFormat="1" ht="16.5" customHeight="1" hidden="1">
      <c r="A282" s="35"/>
      <c r="B282" s="73"/>
      <c r="C282" s="70"/>
      <c r="D282" s="112"/>
      <c r="E282" s="112"/>
      <c r="F282" s="112"/>
      <c r="G282" s="112"/>
      <c r="H282" s="74"/>
      <c r="I282" s="74"/>
      <c r="J282" s="74"/>
      <c r="IH282" s="84"/>
      <c r="II282" s="84"/>
      <c r="IJ282" s="84"/>
      <c r="IK282" s="84"/>
      <c r="IL282" s="84"/>
    </row>
    <row r="283" spans="1:246" s="83" customFormat="1" ht="16.5" customHeight="1" hidden="1">
      <c r="A283" s="36"/>
      <c r="B283" s="25"/>
      <c r="C283" s="100">
        <f>C284+C285+C286+C287+C288+C289</f>
        <v>280</v>
      </c>
      <c r="D283" s="113">
        <f>D284+D285+D286+D287+D288+D289</f>
        <v>100</v>
      </c>
      <c r="E283" s="113">
        <f>E284+E285+E286+E287+E288+E289</f>
        <v>180</v>
      </c>
      <c r="F283" s="113">
        <f>F284+F285+F286+F287+F288+F289</f>
        <v>0</v>
      </c>
      <c r="G283" s="113">
        <f>G284+G285+G286+G287+G288+G289</f>
        <v>0</v>
      </c>
      <c r="H283" s="74"/>
      <c r="I283" s="74"/>
      <c r="J283" s="74"/>
      <c r="IH283" s="84"/>
      <c r="II283" s="84"/>
      <c r="IJ283" s="84"/>
      <c r="IK283" s="84"/>
      <c r="IL283" s="84"/>
    </row>
    <row r="284" spans="1:246" s="83" customFormat="1" ht="16.5" customHeight="1" hidden="1">
      <c r="A284" s="35" t="s">
        <v>52</v>
      </c>
      <c r="B284" s="73"/>
      <c r="C284" s="70">
        <f aca="true" t="shared" si="6" ref="C284:C289">SUM(D284:F284)</f>
        <v>224</v>
      </c>
      <c r="D284" s="112">
        <v>80</v>
      </c>
      <c r="E284" s="112">
        <v>144</v>
      </c>
      <c r="F284" s="112">
        <v>0</v>
      </c>
      <c r="G284" s="112">
        <v>0</v>
      </c>
      <c r="H284" s="74"/>
      <c r="I284" s="74"/>
      <c r="J284" s="74"/>
      <c r="IH284" s="84"/>
      <c r="II284" s="84"/>
      <c r="IJ284" s="84"/>
      <c r="IK284" s="84"/>
      <c r="IL284" s="84"/>
    </row>
    <row r="285" spans="1:246" s="83" customFormat="1" ht="16.5" customHeight="1" hidden="1">
      <c r="A285" s="35" t="s">
        <v>53</v>
      </c>
      <c r="B285" s="73"/>
      <c r="C285" s="70">
        <f t="shared" si="6"/>
        <v>0</v>
      </c>
      <c r="D285" s="112">
        <v>0</v>
      </c>
      <c r="E285" s="112">
        <v>0</v>
      </c>
      <c r="F285" s="112">
        <v>0</v>
      </c>
      <c r="G285" s="112">
        <v>0</v>
      </c>
      <c r="H285" s="74"/>
      <c r="I285" s="74"/>
      <c r="J285" s="74"/>
      <c r="IH285" s="84"/>
      <c r="II285" s="84"/>
      <c r="IJ285" s="84"/>
      <c r="IK285" s="84"/>
      <c r="IL285" s="84"/>
    </row>
    <row r="286" spans="1:246" s="83" customFormat="1" ht="16.5" customHeight="1" hidden="1">
      <c r="A286" s="35" t="s">
        <v>54</v>
      </c>
      <c r="B286" s="73"/>
      <c r="C286" s="70">
        <f t="shared" si="6"/>
        <v>56</v>
      </c>
      <c r="D286" s="112">
        <v>20</v>
      </c>
      <c r="E286" s="112">
        <v>36</v>
      </c>
      <c r="F286" s="112">
        <v>0</v>
      </c>
      <c r="G286" s="112">
        <v>0</v>
      </c>
      <c r="H286" s="74"/>
      <c r="I286" s="74"/>
      <c r="J286" s="74"/>
      <c r="IH286" s="84"/>
      <c r="II286" s="84"/>
      <c r="IJ286" s="84"/>
      <c r="IK286" s="84"/>
      <c r="IL286" s="84"/>
    </row>
    <row r="287" spans="1:246" s="83" customFormat="1" ht="16.5" customHeight="1" hidden="1">
      <c r="A287" s="35" t="s">
        <v>55</v>
      </c>
      <c r="B287" s="73"/>
      <c r="C287" s="70">
        <f t="shared" si="6"/>
        <v>0</v>
      </c>
      <c r="D287" s="112">
        <v>0</v>
      </c>
      <c r="E287" s="112"/>
      <c r="F287" s="112"/>
      <c r="G287" s="112"/>
      <c r="H287" s="74"/>
      <c r="I287" s="74"/>
      <c r="J287" s="74"/>
      <c r="IH287" s="84"/>
      <c r="II287" s="84"/>
      <c r="IJ287" s="84"/>
      <c r="IK287" s="84"/>
      <c r="IL287" s="84"/>
    </row>
    <row r="288" spans="1:246" s="83" customFormat="1" ht="16.5" customHeight="1" hidden="1">
      <c r="A288" s="35" t="s">
        <v>56</v>
      </c>
      <c r="B288" s="73"/>
      <c r="C288" s="70">
        <f t="shared" si="6"/>
        <v>0</v>
      </c>
      <c r="D288" s="112">
        <v>0</v>
      </c>
      <c r="E288" s="112"/>
      <c r="F288" s="112"/>
      <c r="G288" s="112"/>
      <c r="H288" s="74"/>
      <c r="I288" s="74"/>
      <c r="J288" s="74"/>
      <c r="IH288" s="84"/>
      <c r="II288" s="84"/>
      <c r="IJ288" s="84"/>
      <c r="IK288" s="84"/>
      <c r="IL288" s="84"/>
    </row>
    <row r="289" spans="1:246" s="83" customFormat="1" ht="16.5" customHeight="1" hidden="1">
      <c r="A289" s="35" t="s">
        <v>57</v>
      </c>
      <c r="B289" s="73"/>
      <c r="C289" s="70">
        <f t="shared" si="6"/>
        <v>0</v>
      </c>
      <c r="D289" s="112">
        <v>0</v>
      </c>
      <c r="E289" s="112"/>
      <c r="F289" s="112"/>
      <c r="G289" s="112"/>
      <c r="H289" s="74"/>
      <c r="I289" s="74"/>
      <c r="J289" s="74"/>
      <c r="IH289" s="84"/>
      <c r="II289" s="84"/>
      <c r="IJ289" s="84"/>
      <c r="IK289" s="84"/>
      <c r="IL289" s="84"/>
    </row>
    <row r="290" spans="1:246" s="83" customFormat="1" ht="32.25" customHeight="1">
      <c r="A290" s="65" t="s">
        <v>80</v>
      </c>
      <c r="B290" s="22" t="s">
        <v>83</v>
      </c>
      <c r="C290" s="40">
        <f>C291+C292+C293</f>
        <v>280</v>
      </c>
      <c r="D290" s="104">
        <f>D291+D292+D293</f>
        <v>100</v>
      </c>
      <c r="E290" s="104">
        <f>E291+E292+E293</f>
        <v>180</v>
      </c>
      <c r="F290" s="104">
        <f>F291+F292+F293</f>
        <v>0</v>
      </c>
      <c r="G290" s="104">
        <f>G291+G292+G293</f>
        <v>0</v>
      </c>
      <c r="H290" s="74"/>
      <c r="I290" s="74"/>
      <c r="J290" s="74"/>
      <c r="IH290" s="84"/>
      <c r="II290" s="84"/>
      <c r="IJ290" s="84"/>
      <c r="IK290" s="84"/>
      <c r="IL290" s="84"/>
    </row>
    <row r="291" spans="1:246" s="83" customFormat="1" ht="16.5" customHeight="1">
      <c r="A291" s="43" t="s">
        <v>77</v>
      </c>
      <c r="B291" s="30" t="s">
        <v>14</v>
      </c>
      <c r="C291" s="70">
        <f>D291+E291+F291+G291</f>
        <v>224</v>
      </c>
      <c r="D291" s="112">
        <v>80</v>
      </c>
      <c r="E291" s="112">
        <v>144</v>
      </c>
      <c r="F291" s="112">
        <v>0</v>
      </c>
      <c r="G291" s="112">
        <v>0</v>
      </c>
      <c r="H291" s="74"/>
      <c r="I291" s="74"/>
      <c r="J291" s="74"/>
      <c r="IH291" s="84"/>
      <c r="II291" s="84"/>
      <c r="IJ291" s="84"/>
      <c r="IK291" s="84"/>
      <c r="IL291" s="84"/>
    </row>
    <row r="292" spans="1:246" s="83" customFormat="1" ht="16.5" customHeight="1">
      <c r="A292" s="43" t="s">
        <v>78</v>
      </c>
      <c r="B292" s="30" t="s">
        <v>16</v>
      </c>
      <c r="C292" s="70">
        <f>D292+E292+F292+G292</f>
        <v>0</v>
      </c>
      <c r="D292" s="112">
        <v>0</v>
      </c>
      <c r="E292" s="112">
        <v>0</v>
      </c>
      <c r="F292" s="112">
        <v>0</v>
      </c>
      <c r="G292" s="112">
        <v>0</v>
      </c>
      <c r="H292" s="74"/>
      <c r="I292" s="74"/>
      <c r="J292" s="74"/>
      <c r="IH292" s="84"/>
      <c r="II292" s="84"/>
      <c r="IJ292" s="84"/>
      <c r="IK292" s="84"/>
      <c r="IL292" s="84"/>
    </row>
    <row r="293" spans="1:246" s="83" customFormat="1" ht="16.5" customHeight="1">
      <c r="A293" s="35" t="s">
        <v>79</v>
      </c>
      <c r="B293" s="30" t="s">
        <v>18</v>
      </c>
      <c r="C293" s="70">
        <f>D293+E293+F293+G293</f>
        <v>56</v>
      </c>
      <c r="D293" s="112">
        <v>20</v>
      </c>
      <c r="E293" s="112">
        <v>36</v>
      </c>
      <c r="F293" s="112">
        <v>0</v>
      </c>
      <c r="G293" s="112">
        <v>0</v>
      </c>
      <c r="H293" s="74"/>
      <c r="I293" s="74"/>
      <c r="J293" s="74"/>
      <c r="IH293" s="84"/>
      <c r="II293" s="84"/>
      <c r="IJ293" s="84"/>
      <c r="IK293" s="84"/>
      <c r="IL293" s="84"/>
    </row>
    <row r="294" spans="1:246" s="83" customFormat="1" ht="16.5" customHeight="1" hidden="1">
      <c r="A294" s="35"/>
      <c r="B294" s="73"/>
      <c r="C294" s="70"/>
      <c r="D294" s="112"/>
      <c r="E294" s="112"/>
      <c r="F294" s="112"/>
      <c r="G294" s="112"/>
      <c r="H294" s="74"/>
      <c r="I294" s="74"/>
      <c r="J294" s="74"/>
      <c r="IH294" s="84"/>
      <c r="II294" s="84"/>
      <c r="IJ294" s="84"/>
      <c r="IK294" s="84"/>
      <c r="IL294" s="84"/>
    </row>
    <row r="295" spans="1:246" s="83" customFormat="1" ht="16.5" customHeight="1" hidden="1">
      <c r="A295" s="36"/>
      <c r="B295" s="25"/>
      <c r="C295" s="100">
        <f>C296+C297+C298</f>
        <v>280</v>
      </c>
      <c r="D295" s="113">
        <f>D296+D297+D298+D299+D300+D301</f>
        <v>319</v>
      </c>
      <c r="E295" s="113">
        <f>E296+E297+E298+E299+E300+E301</f>
        <v>399</v>
      </c>
      <c r="F295" s="113">
        <f>F296+F297+F298+F299+F300+F301</f>
        <v>0</v>
      </c>
      <c r="G295" s="113">
        <f>G296+G297+G298+G299+G300+G301</f>
        <v>0</v>
      </c>
      <c r="H295" s="74"/>
      <c r="I295" s="74"/>
      <c r="J295" s="74"/>
      <c r="IH295" s="84"/>
      <c r="II295" s="84"/>
      <c r="IJ295" s="84"/>
      <c r="IK295" s="84"/>
      <c r="IL295" s="84"/>
    </row>
    <row r="296" spans="1:246" s="83" customFormat="1" ht="16.5" customHeight="1" hidden="1">
      <c r="A296" s="35" t="s">
        <v>52</v>
      </c>
      <c r="B296" s="73"/>
      <c r="C296" s="70">
        <f>SUM(D296:F296)</f>
        <v>224</v>
      </c>
      <c r="D296" s="112">
        <v>80</v>
      </c>
      <c r="E296" s="112">
        <v>144</v>
      </c>
      <c r="F296" s="112">
        <v>0</v>
      </c>
      <c r="G296" s="112">
        <v>0</v>
      </c>
      <c r="H296" s="74"/>
      <c r="I296" s="74"/>
      <c r="J296" s="74"/>
      <c r="IH296" s="84"/>
      <c r="II296" s="84"/>
      <c r="IJ296" s="84"/>
      <c r="IK296" s="84"/>
      <c r="IL296" s="84"/>
    </row>
    <row r="297" spans="1:246" s="83" customFormat="1" ht="16.5" customHeight="1" hidden="1">
      <c r="A297" s="35" t="s">
        <v>53</v>
      </c>
      <c r="B297" s="73"/>
      <c r="C297" s="70">
        <f>SUM(D297:F297)</f>
        <v>0</v>
      </c>
      <c r="D297" s="112">
        <v>0</v>
      </c>
      <c r="E297" s="112">
        <v>0</v>
      </c>
      <c r="F297" s="112">
        <v>0</v>
      </c>
      <c r="G297" s="112">
        <v>0</v>
      </c>
      <c r="H297" s="74"/>
      <c r="I297" s="74"/>
      <c r="J297" s="74"/>
      <c r="IH297" s="84"/>
      <c r="II297" s="84"/>
      <c r="IJ297" s="84"/>
      <c r="IK297" s="84"/>
      <c r="IL297" s="84"/>
    </row>
    <row r="298" spans="1:246" s="83" customFormat="1" ht="16.5" customHeight="1" hidden="1">
      <c r="A298" s="35" t="s">
        <v>54</v>
      </c>
      <c r="B298" s="73"/>
      <c r="C298" s="70">
        <f>SUM(D298:F298)</f>
        <v>56</v>
      </c>
      <c r="D298" s="112">
        <v>20</v>
      </c>
      <c r="E298" s="112">
        <v>36</v>
      </c>
      <c r="F298" s="112">
        <v>0</v>
      </c>
      <c r="G298" s="112">
        <v>0</v>
      </c>
      <c r="H298" s="74"/>
      <c r="I298" s="74"/>
      <c r="J298" s="74"/>
      <c r="IH298" s="84"/>
      <c r="II298" s="84"/>
      <c r="IJ298" s="84"/>
      <c r="IK298" s="84"/>
      <c r="IL298" s="84"/>
    </row>
    <row r="299" spans="1:246" s="83" customFormat="1" ht="30">
      <c r="A299" s="65" t="s">
        <v>80</v>
      </c>
      <c r="B299" s="22" t="s">
        <v>84</v>
      </c>
      <c r="C299" s="70">
        <f>SUM(C300:C302)</f>
        <v>238</v>
      </c>
      <c r="D299" s="112">
        <f>SUM(D300:D302)</f>
        <v>119</v>
      </c>
      <c r="E299" s="112">
        <f>SUM(E300:E302)</f>
        <v>119</v>
      </c>
      <c r="F299" s="112">
        <f>SUM(F300:F302)</f>
        <v>0</v>
      </c>
      <c r="G299" s="112">
        <f>SUM(G300:G302)</f>
        <v>0</v>
      </c>
      <c r="H299" s="74"/>
      <c r="I299" s="74"/>
      <c r="J299" s="74"/>
      <c r="IH299" s="84"/>
      <c r="II299" s="84"/>
      <c r="IJ299" s="84"/>
      <c r="IK299" s="84"/>
      <c r="IL299" s="84"/>
    </row>
    <row r="300" spans="1:246" s="83" customFormat="1" ht="16.5" customHeight="1">
      <c r="A300" s="43" t="s">
        <v>77</v>
      </c>
      <c r="B300" s="30" t="s">
        <v>14</v>
      </c>
      <c r="C300" s="70">
        <f>SUM(D300:F300)</f>
        <v>200</v>
      </c>
      <c r="D300" s="112">
        <v>100</v>
      </c>
      <c r="E300" s="112">
        <v>100</v>
      </c>
      <c r="F300" s="112">
        <v>0</v>
      </c>
      <c r="G300" s="112">
        <v>0</v>
      </c>
      <c r="H300" s="74"/>
      <c r="I300" s="74"/>
      <c r="J300" s="74"/>
      <c r="IH300" s="84"/>
      <c r="II300" s="84"/>
      <c r="IJ300" s="84"/>
      <c r="IK300" s="84"/>
      <c r="IL300" s="84"/>
    </row>
    <row r="301" spans="1:246" s="83" customFormat="1" ht="16.5" customHeight="1">
      <c r="A301" s="43" t="s">
        <v>78</v>
      </c>
      <c r="B301" s="30" t="s">
        <v>16</v>
      </c>
      <c r="C301" s="70">
        <f>SUM(D301:F301)</f>
        <v>0</v>
      </c>
      <c r="D301" s="112">
        <v>0</v>
      </c>
      <c r="E301" s="112">
        <v>0</v>
      </c>
      <c r="F301" s="112">
        <v>0</v>
      </c>
      <c r="G301" s="112">
        <v>0</v>
      </c>
      <c r="H301" s="74"/>
      <c r="I301" s="74"/>
      <c r="J301" s="74"/>
      <c r="IH301" s="84"/>
      <c r="II301" s="84"/>
      <c r="IJ301" s="84"/>
      <c r="IK301" s="84"/>
      <c r="IL301" s="84"/>
    </row>
    <row r="302" spans="1:246" s="83" customFormat="1" ht="16.5" customHeight="1">
      <c r="A302" s="35" t="s">
        <v>79</v>
      </c>
      <c r="B302" s="30" t="s">
        <v>18</v>
      </c>
      <c r="C302" s="70">
        <f>SUM(D302:F302)</f>
        <v>38</v>
      </c>
      <c r="D302" s="112">
        <v>19</v>
      </c>
      <c r="E302" s="112">
        <v>19</v>
      </c>
      <c r="F302" s="112">
        <v>0</v>
      </c>
      <c r="G302" s="112">
        <v>0</v>
      </c>
      <c r="H302" s="74"/>
      <c r="I302" s="74"/>
      <c r="J302" s="74"/>
      <c r="IH302" s="84"/>
      <c r="II302" s="84"/>
      <c r="IJ302" s="84"/>
      <c r="IK302" s="84"/>
      <c r="IL302" s="84"/>
    </row>
    <row r="303" spans="1:246" s="83" customFormat="1" ht="16.5" customHeight="1" hidden="1">
      <c r="A303" s="35"/>
      <c r="B303" s="18"/>
      <c r="C303" s="70"/>
      <c r="D303" s="70"/>
      <c r="E303" s="70"/>
      <c r="F303" s="70"/>
      <c r="G303" s="70"/>
      <c r="H303" s="74"/>
      <c r="I303" s="74"/>
      <c r="J303" s="74"/>
      <c r="IH303" s="84"/>
      <c r="II303" s="84"/>
      <c r="IJ303" s="84"/>
      <c r="IK303" s="84"/>
      <c r="IL303" s="84"/>
    </row>
    <row r="304" spans="1:246" s="83" customFormat="1" ht="16.5" customHeight="1" hidden="1">
      <c r="A304" s="36"/>
      <c r="B304" s="25"/>
      <c r="C304" s="70">
        <f>SUM(C305:C307)</f>
        <v>238</v>
      </c>
      <c r="D304" s="70">
        <f>SUM(D305:D307)</f>
        <v>119</v>
      </c>
      <c r="E304" s="70">
        <f>SUM(E305:E307)</f>
        <v>119</v>
      </c>
      <c r="F304" s="70">
        <f>SUM(F305:F307)</f>
        <v>0</v>
      </c>
      <c r="G304" s="70">
        <f>SUM(G305:G307)</f>
        <v>0</v>
      </c>
      <c r="H304" s="74"/>
      <c r="I304" s="74"/>
      <c r="J304" s="74"/>
      <c r="IH304" s="84"/>
      <c r="II304" s="84"/>
      <c r="IJ304" s="84"/>
      <c r="IK304" s="84"/>
      <c r="IL304" s="84"/>
    </row>
    <row r="305" spans="1:246" s="83" customFormat="1" ht="16.5" customHeight="1" hidden="1">
      <c r="A305" s="35" t="s">
        <v>52</v>
      </c>
      <c r="B305" s="73"/>
      <c r="C305" s="70">
        <f>SUM(D305:F305)</f>
        <v>200</v>
      </c>
      <c r="D305" s="70">
        <v>100</v>
      </c>
      <c r="E305" s="70">
        <v>100</v>
      </c>
      <c r="F305" s="70">
        <v>0</v>
      </c>
      <c r="G305" s="70">
        <v>0</v>
      </c>
      <c r="H305" s="74"/>
      <c r="I305" s="74"/>
      <c r="J305" s="74"/>
      <c r="IH305" s="84"/>
      <c r="II305" s="84"/>
      <c r="IJ305" s="84"/>
      <c r="IK305" s="84"/>
      <c r="IL305" s="84"/>
    </row>
    <row r="306" spans="1:246" s="83" customFormat="1" ht="16.5" customHeight="1" hidden="1">
      <c r="A306" s="35" t="s">
        <v>53</v>
      </c>
      <c r="B306" s="73"/>
      <c r="C306" s="70">
        <f>SUM(D306:F306)</f>
        <v>0</v>
      </c>
      <c r="D306" s="70">
        <v>0</v>
      </c>
      <c r="E306" s="70">
        <v>0</v>
      </c>
      <c r="F306" s="70">
        <v>0</v>
      </c>
      <c r="G306" s="70">
        <v>0</v>
      </c>
      <c r="H306" s="74"/>
      <c r="I306" s="74"/>
      <c r="J306" s="74"/>
      <c r="IH306" s="84"/>
      <c r="II306" s="84"/>
      <c r="IJ306" s="84"/>
      <c r="IK306" s="84"/>
      <c r="IL306" s="84"/>
    </row>
    <row r="307" spans="1:246" s="83" customFormat="1" ht="16.5" customHeight="1" hidden="1">
      <c r="A307" s="35" t="s">
        <v>54</v>
      </c>
      <c r="B307" s="73"/>
      <c r="C307" s="70">
        <f>SUM(D307:F307)</f>
        <v>38</v>
      </c>
      <c r="D307" s="70">
        <v>19</v>
      </c>
      <c r="E307" s="70">
        <v>19</v>
      </c>
      <c r="F307" s="70">
        <v>0</v>
      </c>
      <c r="G307" s="70">
        <v>0</v>
      </c>
      <c r="H307" s="74"/>
      <c r="I307" s="74"/>
      <c r="J307" s="74"/>
      <c r="IH307" s="84"/>
      <c r="II307" s="84"/>
      <c r="IJ307" s="84"/>
      <c r="IK307" s="84"/>
      <c r="IL307" s="84"/>
    </row>
    <row r="308" spans="1:246" s="67" customFormat="1" ht="29.25" customHeight="1">
      <c r="A308" s="65" t="s">
        <v>80</v>
      </c>
      <c r="B308" s="22" t="s">
        <v>85</v>
      </c>
      <c r="C308" s="40">
        <f aca="true" t="shared" si="7" ref="C308:C332">D308+E308+F308+G308</f>
        <v>4214</v>
      </c>
      <c r="D308" s="40">
        <f>D309+D310+D311</f>
        <v>2107</v>
      </c>
      <c r="E308" s="40">
        <f>E309+E310+E311</f>
        <v>2107</v>
      </c>
      <c r="F308" s="40">
        <f>F309+F310+F311</f>
        <v>0</v>
      </c>
      <c r="G308" s="40">
        <f>G309+G310+G311</f>
        <v>0</v>
      </c>
      <c r="H308" s="74"/>
      <c r="I308" s="75"/>
      <c r="J308" s="75"/>
      <c r="IH308" s="68"/>
      <c r="II308" s="68"/>
      <c r="IJ308" s="68"/>
      <c r="IK308" s="68"/>
      <c r="IL308" s="68"/>
    </row>
    <row r="309" spans="1:246" s="67" customFormat="1" ht="16.5" customHeight="1">
      <c r="A309" s="43" t="s">
        <v>25</v>
      </c>
      <c r="B309" s="69"/>
      <c r="C309" s="40">
        <f t="shared" si="7"/>
        <v>1354</v>
      </c>
      <c r="D309" s="70">
        <v>677</v>
      </c>
      <c r="E309" s="70">
        <v>677</v>
      </c>
      <c r="F309" s="70">
        <v>0</v>
      </c>
      <c r="G309" s="70">
        <v>0</v>
      </c>
      <c r="H309" s="74"/>
      <c r="I309" s="75"/>
      <c r="J309" s="75"/>
      <c r="IH309" s="68"/>
      <c r="II309" s="68"/>
      <c r="IJ309" s="68"/>
      <c r="IK309" s="68"/>
      <c r="IL309" s="68"/>
    </row>
    <row r="310" spans="1:246" s="67" customFormat="1" ht="16.5" customHeight="1">
      <c r="A310" s="43" t="s">
        <v>26</v>
      </c>
      <c r="B310" s="71"/>
      <c r="C310" s="40">
        <f t="shared" si="7"/>
        <v>1410</v>
      </c>
      <c r="D310" s="70">
        <v>705</v>
      </c>
      <c r="E310" s="70">
        <v>705</v>
      </c>
      <c r="F310" s="70">
        <v>0</v>
      </c>
      <c r="G310" s="70">
        <v>0</v>
      </c>
      <c r="H310" s="74"/>
      <c r="I310" s="75"/>
      <c r="J310" s="75"/>
      <c r="IH310" s="68"/>
      <c r="II310" s="68"/>
      <c r="IJ310" s="68"/>
      <c r="IK310" s="68"/>
      <c r="IL310" s="68"/>
    </row>
    <row r="311" spans="1:246" s="67" customFormat="1" ht="21.75" customHeight="1">
      <c r="A311" s="43" t="s">
        <v>27</v>
      </c>
      <c r="B311" s="72"/>
      <c r="C311" s="40">
        <f t="shared" si="7"/>
        <v>1450</v>
      </c>
      <c r="D311" s="70">
        <v>725</v>
      </c>
      <c r="E311" s="70">
        <v>725</v>
      </c>
      <c r="F311" s="70">
        <v>0</v>
      </c>
      <c r="G311" s="70">
        <v>0</v>
      </c>
      <c r="H311" s="74"/>
      <c r="I311" s="75"/>
      <c r="J311" s="75"/>
      <c r="IH311" s="68"/>
      <c r="II311" s="68"/>
      <c r="IJ311" s="68"/>
      <c r="IK311" s="68"/>
      <c r="IL311" s="68"/>
    </row>
    <row r="312" spans="1:246" s="67" customFormat="1" ht="16.5" customHeight="1" hidden="1">
      <c r="A312" s="35"/>
      <c r="B312" s="73"/>
      <c r="C312" s="40">
        <f t="shared" si="7"/>
        <v>0</v>
      </c>
      <c r="D312" s="70"/>
      <c r="E312" s="70"/>
      <c r="F312" s="70"/>
      <c r="G312" s="70"/>
      <c r="H312" s="74"/>
      <c r="I312" s="75"/>
      <c r="J312" s="75"/>
      <c r="IH312" s="68"/>
      <c r="II312" s="68"/>
      <c r="IJ312" s="68"/>
      <c r="IK312" s="68"/>
      <c r="IL312" s="68"/>
    </row>
    <row r="313" spans="1:246" s="79" customFormat="1" ht="16.5" customHeight="1" hidden="1">
      <c r="A313" s="36"/>
      <c r="B313" s="25"/>
      <c r="C313" s="40">
        <f t="shared" si="7"/>
        <v>4214</v>
      </c>
      <c r="D313" s="100">
        <f>D314+D315+D316+D317</f>
        <v>2107</v>
      </c>
      <c r="E313" s="100">
        <f>E314+E315+E316+E317</f>
        <v>2107</v>
      </c>
      <c r="F313" s="100">
        <f>F314+F315+F316+F317</f>
        <v>0</v>
      </c>
      <c r="G313" s="100">
        <f>G314+G315+G316+G317</f>
        <v>0</v>
      </c>
      <c r="H313" s="77"/>
      <c r="I313" s="78"/>
      <c r="J313" s="78"/>
      <c r="IH313" s="80"/>
      <c r="II313" s="80"/>
      <c r="IJ313" s="80"/>
      <c r="IK313" s="80"/>
      <c r="IL313" s="80"/>
    </row>
    <row r="314" spans="1:246" s="67" customFormat="1" ht="16.5" customHeight="1" hidden="1">
      <c r="A314" s="35" t="s">
        <v>28</v>
      </c>
      <c r="B314" s="73"/>
      <c r="C314" s="40">
        <f t="shared" si="7"/>
        <v>272</v>
      </c>
      <c r="D314" s="70">
        <f>D308-D315-D317</f>
        <v>136</v>
      </c>
      <c r="E314" s="70">
        <f>E308-E315-E317</f>
        <v>136</v>
      </c>
      <c r="F314" s="70">
        <f>F308-F315-F317</f>
        <v>0</v>
      </c>
      <c r="G314" s="70">
        <f>G308-G315-G317</f>
        <v>0</v>
      </c>
      <c r="H314" s="74"/>
      <c r="I314" s="75"/>
      <c r="J314" s="75"/>
      <c r="IH314" s="68"/>
      <c r="II314" s="68"/>
      <c r="IJ314" s="68"/>
      <c r="IK314" s="68"/>
      <c r="IL314" s="68"/>
    </row>
    <row r="315" spans="1:246" s="67" customFormat="1" ht="16.5" customHeight="1" hidden="1">
      <c r="A315" s="35" t="s">
        <v>29</v>
      </c>
      <c r="B315" s="73"/>
      <c r="C315" s="40">
        <f t="shared" si="7"/>
        <v>1410</v>
      </c>
      <c r="D315" s="70">
        <v>705</v>
      </c>
      <c r="E315" s="70">
        <v>705</v>
      </c>
      <c r="F315" s="70">
        <v>0</v>
      </c>
      <c r="G315" s="70">
        <v>0</v>
      </c>
      <c r="H315" s="74"/>
      <c r="I315" s="75"/>
      <c r="J315" s="75"/>
      <c r="IH315" s="68"/>
      <c r="II315" s="68"/>
      <c r="IJ315" s="68"/>
      <c r="IK315" s="68"/>
      <c r="IL315" s="68"/>
    </row>
    <row r="316" spans="1:246" s="67" customFormat="1" ht="16.5" customHeight="1" hidden="1">
      <c r="A316" s="35" t="s">
        <v>30</v>
      </c>
      <c r="B316" s="73"/>
      <c r="C316" s="40">
        <f t="shared" si="7"/>
        <v>0</v>
      </c>
      <c r="D316" s="70">
        <v>0</v>
      </c>
      <c r="E316" s="70">
        <v>0</v>
      </c>
      <c r="F316" s="70">
        <v>0</v>
      </c>
      <c r="G316" s="70">
        <v>0</v>
      </c>
      <c r="H316" s="74"/>
      <c r="I316" s="75"/>
      <c r="J316" s="75"/>
      <c r="IH316" s="68"/>
      <c r="II316" s="68"/>
      <c r="IJ316" s="68"/>
      <c r="IK316" s="68"/>
      <c r="IL316" s="68"/>
    </row>
    <row r="317" spans="1:246" s="83" customFormat="1" ht="30" hidden="1">
      <c r="A317" s="49" t="s">
        <v>31</v>
      </c>
      <c r="B317" s="82"/>
      <c r="C317" s="40">
        <f t="shared" si="7"/>
        <v>2532</v>
      </c>
      <c r="D317" s="70">
        <f>D311+541</f>
        <v>1266</v>
      </c>
      <c r="E317" s="70">
        <f>E311+541</f>
        <v>1266</v>
      </c>
      <c r="F317" s="70">
        <v>0</v>
      </c>
      <c r="G317" s="70">
        <v>0</v>
      </c>
      <c r="H317" s="74"/>
      <c r="I317" s="74"/>
      <c r="J317" s="74"/>
      <c r="IH317" s="84"/>
      <c r="II317" s="84"/>
      <c r="IJ317" s="84"/>
      <c r="IK317" s="84"/>
      <c r="IL317" s="84"/>
    </row>
    <row r="318" spans="1:246" s="67" customFormat="1" ht="16.5" customHeight="1" hidden="1">
      <c r="A318" s="35"/>
      <c r="B318" s="73"/>
      <c r="C318" s="40">
        <f t="shared" si="7"/>
        <v>0</v>
      </c>
      <c r="D318" s="31"/>
      <c r="E318" s="31"/>
      <c r="F318" s="45"/>
      <c r="G318" s="103"/>
      <c r="H318" s="74"/>
      <c r="I318" s="75"/>
      <c r="J318" s="75"/>
      <c r="IH318" s="68"/>
      <c r="II318" s="68"/>
      <c r="IJ318" s="68"/>
      <c r="IK318" s="68"/>
      <c r="IL318" s="68"/>
    </row>
    <row r="319" spans="1:246" s="67" customFormat="1" ht="31.5" customHeight="1">
      <c r="A319" s="65" t="s">
        <v>80</v>
      </c>
      <c r="B319" s="22" t="s">
        <v>86</v>
      </c>
      <c r="C319" s="40">
        <f t="shared" si="7"/>
        <v>4490</v>
      </c>
      <c r="D319" s="40">
        <f>D320+D321+D322</f>
        <v>2245</v>
      </c>
      <c r="E319" s="40">
        <f>E320+E321+E322</f>
        <v>2245</v>
      </c>
      <c r="F319" s="40">
        <f>F320+F321+F322</f>
        <v>0</v>
      </c>
      <c r="G319" s="40">
        <f>G320+G321+G322</f>
        <v>0</v>
      </c>
      <c r="H319" s="74"/>
      <c r="I319" s="75"/>
      <c r="J319" s="75"/>
      <c r="IH319" s="68"/>
      <c r="II319" s="68"/>
      <c r="IJ319" s="68"/>
      <c r="IK319" s="68"/>
      <c r="IL319" s="68"/>
    </row>
    <row r="320" spans="1:246" s="67" customFormat="1" ht="16.5" customHeight="1">
      <c r="A320" s="43" t="s">
        <v>25</v>
      </c>
      <c r="B320" s="69"/>
      <c r="C320" s="40">
        <f t="shared" si="7"/>
        <v>1294</v>
      </c>
      <c r="D320" s="70">
        <v>647</v>
      </c>
      <c r="E320" s="70">
        <v>647</v>
      </c>
      <c r="F320" s="70"/>
      <c r="G320" s="70"/>
      <c r="H320" s="74"/>
      <c r="I320" s="75"/>
      <c r="J320" s="75"/>
      <c r="IH320" s="68"/>
      <c r="II320" s="68"/>
      <c r="IJ320" s="68"/>
      <c r="IK320" s="68"/>
      <c r="IL320" s="68"/>
    </row>
    <row r="321" spans="1:246" s="67" customFormat="1" ht="16.5" customHeight="1">
      <c r="A321" s="43" t="s">
        <v>26</v>
      </c>
      <c r="B321" s="71"/>
      <c r="C321" s="40">
        <f t="shared" si="7"/>
        <v>1350</v>
      </c>
      <c r="D321" s="70">
        <v>675</v>
      </c>
      <c r="E321" s="70">
        <v>675</v>
      </c>
      <c r="F321" s="70"/>
      <c r="G321" s="70"/>
      <c r="H321" s="74"/>
      <c r="I321" s="75"/>
      <c r="J321" s="75"/>
      <c r="IH321" s="68"/>
      <c r="II321" s="68"/>
      <c r="IJ321" s="68"/>
      <c r="IK321" s="68"/>
      <c r="IL321" s="68"/>
    </row>
    <row r="322" spans="1:246" s="67" customFormat="1" ht="21" customHeight="1">
      <c r="A322" s="43" t="s">
        <v>27</v>
      </c>
      <c r="B322" s="72"/>
      <c r="C322" s="40">
        <f t="shared" si="7"/>
        <v>1846</v>
      </c>
      <c r="D322" s="70">
        <v>923</v>
      </c>
      <c r="E322" s="70">
        <v>923</v>
      </c>
      <c r="F322" s="70"/>
      <c r="G322" s="70"/>
      <c r="H322" s="74"/>
      <c r="I322" s="75"/>
      <c r="J322" s="75"/>
      <c r="IH322" s="68"/>
      <c r="II322" s="68"/>
      <c r="IJ322" s="68"/>
      <c r="IK322" s="68"/>
      <c r="IL322" s="68"/>
    </row>
    <row r="323" spans="1:246" s="67" customFormat="1" ht="16.5" customHeight="1" hidden="1">
      <c r="A323" s="35"/>
      <c r="B323" s="73"/>
      <c r="C323" s="40">
        <f t="shared" si="7"/>
        <v>0</v>
      </c>
      <c r="D323" s="70"/>
      <c r="E323" s="70"/>
      <c r="F323" s="70"/>
      <c r="G323" s="70"/>
      <c r="H323" s="74"/>
      <c r="I323" s="75"/>
      <c r="J323" s="75"/>
      <c r="IH323" s="68"/>
      <c r="II323" s="68"/>
      <c r="IJ323" s="68"/>
      <c r="IK323" s="68"/>
      <c r="IL323" s="68"/>
    </row>
    <row r="324" spans="1:246" s="79" customFormat="1" ht="16.5" customHeight="1" hidden="1">
      <c r="A324" s="36"/>
      <c r="B324" s="25"/>
      <c r="C324" s="40">
        <f t="shared" si="7"/>
        <v>4490</v>
      </c>
      <c r="D324" s="100">
        <f>D325+D326+D327+D328</f>
        <v>2245</v>
      </c>
      <c r="E324" s="100">
        <f>E325+E326+E327+E328</f>
        <v>2245</v>
      </c>
      <c r="F324" s="100">
        <f>F325+F326+F327+F328</f>
        <v>0</v>
      </c>
      <c r="G324" s="100">
        <f>G325+G326+G327+G328</f>
        <v>0</v>
      </c>
      <c r="H324" s="77"/>
      <c r="I324" s="78"/>
      <c r="J324" s="78"/>
      <c r="IH324" s="80"/>
      <c r="II324" s="80"/>
      <c r="IJ324" s="80"/>
      <c r="IK324" s="80"/>
      <c r="IL324" s="80"/>
    </row>
    <row r="325" spans="1:246" s="67" customFormat="1" ht="16.5" customHeight="1" hidden="1">
      <c r="A325" s="35" t="s">
        <v>28</v>
      </c>
      <c r="B325" s="73"/>
      <c r="C325" s="40">
        <f t="shared" si="7"/>
        <v>258</v>
      </c>
      <c r="D325" s="70">
        <v>129</v>
      </c>
      <c r="E325" s="70">
        <v>129</v>
      </c>
      <c r="F325" s="70"/>
      <c r="G325" s="70"/>
      <c r="H325" s="74"/>
      <c r="I325" s="75"/>
      <c r="J325" s="75"/>
      <c r="IH325" s="68"/>
      <c r="II325" s="68"/>
      <c r="IJ325" s="68"/>
      <c r="IK325" s="68"/>
      <c r="IL325" s="68"/>
    </row>
    <row r="326" spans="1:246" s="67" customFormat="1" ht="16.5" customHeight="1" hidden="1">
      <c r="A326" s="35" t="s">
        <v>29</v>
      </c>
      <c r="B326" s="73"/>
      <c r="C326" s="40">
        <f t="shared" si="7"/>
        <v>1350</v>
      </c>
      <c r="D326" s="70">
        <v>675</v>
      </c>
      <c r="E326" s="70">
        <v>675</v>
      </c>
      <c r="F326" s="70"/>
      <c r="G326" s="70"/>
      <c r="H326" s="74"/>
      <c r="I326" s="75"/>
      <c r="J326" s="75"/>
      <c r="IH326" s="68"/>
      <c r="II326" s="68"/>
      <c r="IJ326" s="68"/>
      <c r="IK326" s="68"/>
      <c r="IL326" s="68"/>
    </row>
    <row r="327" spans="1:246" s="67" customFormat="1" ht="16.5" customHeight="1" hidden="1">
      <c r="A327" s="35" t="s">
        <v>30</v>
      </c>
      <c r="B327" s="73"/>
      <c r="C327" s="40">
        <f t="shared" si="7"/>
        <v>0</v>
      </c>
      <c r="D327" s="70">
        <v>0</v>
      </c>
      <c r="E327" s="70">
        <v>0</v>
      </c>
      <c r="F327" s="70"/>
      <c r="G327" s="70"/>
      <c r="H327" s="74"/>
      <c r="I327" s="75"/>
      <c r="J327" s="75"/>
      <c r="IH327" s="68"/>
      <c r="II327" s="68"/>
      <c r="IJ327" s="68"/>
      <c r="IK327" s="68"/>
      <c r="IL327" s="68"/>
    </row>
    <row r="328" spans="1:246" s="83" customFormat="1" ht="30" hidden="1">
      <c r="A328" s="49" t="s">
        <v>31</v>
      </c>
      <c r="B328" s="82"/>
      <c r="C328" s="40">
        <f t="shared" si="7"/>
        <v>2882</v>
      </c>
      <c r="D328" s="70">
        <f>D322+518</f>
        <v>1441</v>
      </c>
      <c r="E328" s="70">
        <f>E322+518</f>
        <v>1441</v>
      </c>
      <c r="F328" s="70"/>
      <c r="G328" s="70"/>
      <c r="H328" s="74"/>
      <c r="I328" s="74"/>
      <c r="J328" s="74"/>
      <c r="IH328" s="84"/>
      <c r="II328" s="84"/>
      <c r="IJ328" s="84"/>
      <c r="IK328" s="84"/>
      <c r="IL328" s="84"/>
    </row>
    <row r="329" spans="1:246" s="83" customFormat="1" ht="30" customHeight="1">
      <c r="A329" s="65" t="s">
        <v>80</v>
      </c>
      <c r="B329" s="22" t="s">
        <v>87</v>
      </c>
      <c r="C329" s="40">
        <f t="shared" si="7"/>
        <v>5444</v>
      </c>
      <c r="D329" s="40">
        <f>D330+D331+D332</f>
        <v>2800</v>
      </c>
      <c r="E329" s="40">
        <f>E330+E331+E332</f>
        <v>923</v>
      </c>
      <c r="F329" s="40">
        <f>F330+F331+F332</f>
        <v>1721</v>
      </c>
      <c r="G329" s="40">
        <f>G330+G331+G332</f>
        <v>0</v>
      </c>
      <c r="H329" s="74"/>
      <c r="I329" s="74"/>
      <c r="J329" s="74"/>
      <c r="IH329" s="84"/>
      <c r="II329" s="84"/>
      <c r="IJ329" s="84"/>
      <c r="IK329" s="84"/>
      <c r="IL329" s="84"/>
    </row>
    <row r="330" spans="1:246" s="83" customFormat="1" ht="16.5" customHeight="1">
      <c r="A330" s="43" t="s">
        <v>25</v>
      </c>
      <c r="B330" s="44"/>
      <c r="C330" s="70">
        <f t="shared" si="7"/>
        <v>1824</v>
      </c>
      <c r="D330" s="70">
        <v>1372</v>
      </c>
      <c r="E330" s="70">
        <v>452</v>
      </c>
      <c r="F330" s="70">
        <v>0</v>
      </c>
      <c r="G330" s="70">
        <v>0</v>
      </c>
      <c r="H330" s="74"/>
      <c r="I330" s="74"/>
      <c r="J330" s="74"/>
      <c r="IH330" s="84"/>
      <c r="II330" s="84"/>
      <c r="IJ330" s="84"/>
      <c r="IK330" s="84"/>
      <c r="IL330" s="84"/>
    </row>
    <row r="331" spans="1:246" s="83" customFormat="1" ht="16.5" customHeight="1">
      <c r="A331" s="43" t="s">
        <v>26</v>
      </c>
      <c r="B331" s="46"/>
      <c r="C331" s="70">
        <f t="shared" si="7"/>
        <v>1899</v>
      </c>
      <c r="D331" s="70">
        <v>1428</v>
      </c>
      <c r="E331" s="70">
        <v>471</v>
      </c>
      <c r="F331" s="70">
        <v>0</v>
      </c>
      <c r="G331" s="70">
        <v>0</v>
      </c>
      <c r="H331" s="74"/>
      <c r="I331" s="74"/>
      <c r="J331" s="74"/>
      <c r="IH331" s="84"/>
      <c r="II331" s="84"/>
      <c r="IJ331" s="84"/>
      <c r="IK331" s="84"/>
      <c r="IL331" s="84"/>
    </row>
    <row r="332" spans="1:246" s="83" customFormat="1" ht="16.5" customHeight="1">
      <c r="A332" s="35" t="s">
        <v>27</v>
      </c>
      <c r="B332" s="47"/>
      <c r="C332" s="70">
        <f t="shared" si="7"/>
        <v>1721</v>
      </c>
      <c r="D332" s="70">
        <v>0</v>
      </c>
      <c r="E332" s="70">
        <v>0</v>
      </c>
      <c r="F332" s="70">
        <v>1721</v>
      </c>
      <c r="G332" s="70">
        <v>0</v>
      </c>
      <c r="H332" s="74"/>
      <c r="I332" s="74"/>
      <c r="J332" s="74"/>
      <c r="IH332" s="84"/>
      <c r="II332" s="84"/>
      <c r="IJ332" s="84"/>
      <c r="IK332" s="84"/>
      <c r="IL332" s="84"/>
    </row>
    <row r="333" spans="1:246" s="83" customFormat="1" ht="16.5" customHeight="1" hidden="1">
      <c r="A333" s="35"/>
      <c r="B333" s="73"/>
      <c r="C333" s="70"/>
      <c r="D333" s="70"/>
      <c r="E333" s="70"/>
      <c r="F333" s="70"/>
      <c r="G333" s="70"/>
      <c r="H333" s="74"/>
      <c r="I333" s="74"/>
      <c r="J333" s="74"/>
      <c r="IH333" s="84"/>
      <c r="II333" s="84"/>
      <c r="IJ333" s="84"/>
      <c r="IK333" s="84"/>
      <c r="IL333" s="84"/>
    </row>
    <row r="334" spans="1:246" s="83" customFormat="1" ht="16.5" customHeight="1" hidden="1">
      <c r="A334" s="36"/>
      <c r="B334" s="25"/>
      <c r="C334" s="100">
        <f>C335+C336+C337+C338</f>
        <v>5444</v>
      </c>
      <c r="D334" s="100">
        <f>D335+D336+D337+D338</f>
        <v>2800</v>
      </c>
      <c r="E334" s="100">
        <f>E335+E336+E337+E338</f>
        <v>923</v>
      </c>
      <c r="F334" s="100">
        <f>F335+F336+F337+F338</f>
        <v>1721</v>
      </c>
      <c r="G334" s="100">
        <f>G335+G336+G337+G338</f>
        <v>0</v>
      </c>
      <c r="H334" s="74"/>
      <c r="I334" s="74"/>
      <c r="J334" s="74"/>
      <c r="IH334" s="84"/>
      <c r="II334" s="84"/>
      <c r="IJ334" s="84"/>
      <c r="IK334" s="84"/>
      <c r="IL334" s="84"/>
    </row>
    <row r="335" spans="1:246" s="83" customFormat="1" ht="16.5" customHeight="1" hidden="1">
      <c r="A335" s="35" t="s">
        <v>28</v>
      </c>
      <c r="B335" s="73"/>
      <c r="C335" s="70">
        <f aca="true" t="shared" si="8" ref="C335:C342">D335+E335+F335+G335</f>
        <v>335</v>
      </c>
      <c r="D335" s="70">
        <v>252</v>
      </c>
      <c r="E335" s="70">
        <v>83</v>
      </c>
      <c r="F335" s="70">
        <v>0</v>
      </c>
      <c r="G335" s="70">
        <v>0</v>
      </c>
      <c r="H335" s="74"/>
      <c r="I335" s="74"/>
      <c r="J335" s="74"/>
      <c r="IH335" s="84"/>
      <c r="II335" s="84"/>
      <c r="IJ335" s="84"/>
      <c r="IK335" s="84"/>
      <c r="IL335" s="84"/>
    </row>
    <row r="336" spans="1:246" s="83" customFormat="1" ht="16.5" customHeight="1" hidden="1">
      <c r="A336" s="35" t="s">
        <v>29</v>
      </c>
      <c r="B336" s="73"/>
      <c r="C336" s="70">
        <f t="shared" si="8"/>
        <v>1899</v>
      </c>
      <c r="D336" s="70">
        <v>1428</v>
      </c>
      <c r="E336" s="70">
        <v>471</v>
      </c>
      <c r="F336" s="70">
        <v>0</v>
      </c>
      <c r="G336" s="70">
        <v>0</v>
      </c>
      <c r="H336" s="74"/>
      <c r="I336" s="74"/>
      <c r="J336" s="74"/>
      <c r="IH336" s="84"/>
      <c r="II336" s="84"/>
      <c r="IJ336" s="84"/>
      <c r="IK336" s="84"/>
      <c r="IL336" s="84"/>
    </row>
    <row r="337" spans="1:246" s="83" customFormat="1" ht="16.5" customHeight="1" hidden="1">
      <c r="A337" s="35" t="s">
        <v>30</v>
      </c>
      <c r="B337" s="73"/>
      <c r="C337" s="70">
        <f t="shared" si="8"/>
        <v>0</v>
      </c>
      <c r="D337" s="70">
        <v>0</v>
      </c>
      <c r="E337" s="70">
        <v>0</v>
      </c>
      <c r="F337" s="70">
        <v>0</v>
      </c>
      <c r="G337" s="70">
        <v>0</v>
      </c>
      <c r="H337" s="74"/>
      <c r="I337" s="74"/>
      <c r="J337" s="74"/>
      <c r="IH337" s="84"/>
      <c r="II337" s="84"/>
      <c r="IJ337" s="84"/>
      <c r="IK337" s="84"/>
      <c r="IL337" s="84"/>
    </row>
    <row r="338" spans="1:246" s="83" customFormat="1" ht="30" hidden="1">
      <c r="A338" s="49" t="s">
        <v>31</v>
      </c>
      <c r="B338" s="82"/>
      <c r="C338" s="70">
        <f t="shared" si="8"/>
        <v>3210</v>
      </c>
      <c r="D338" s="70">
        <v>1120</v>
      </c>
      <c r="E338" s="70">
        <v>369</v>
      </c>
      <c r="F338" s="70">
        <v>1721</v>
      </c>
      <c r="G338" s="70">
        <v>0</v>
      </c>
      <c r="H338" s="74"/>
      <c r="I338" s="74"/>
      <c r="J338" s="74"/>
      <c r="IH338" s="84"/>
      <c r="II338" s="84"/>
      <c r="IJ338" s="84"/>
      <c r="IK338" s="84"/>
      <c r="IL338" s="84"/>
    </row>
    <row r="339" spans="1:246" s="83" customFormat="1" ht="30" customHeight="1">
      <c r="A339" s="65" t="s">
        <v>80</v>
      </c>
      <c r="B339" s="22" t="s">
        <v>88</v>
      </c>
      <c r="C339" s="40">
        <f t="shared" si="8"/>
        <v>6780</v>
      </c>
      <c r="D339" s="40">
        <f>D340+D341+D342</f>
        <v>2696</v>
      </c>
      <c r="E339" s="40">
        <f>E340+E341+E342</f>
        <v>2042</v>
      </c>
      <c r="F339" s="40">
        <f>F340+F341+F342</f>
        <v>2042</v>
      </c>
      <c r="G339" s="40">
        <v>0</v>
      </c>
      <c r="H339" s="74"/>
      <c r="I339" s="74"/>
      <c r="J339" s="74"/>
      <c r="IH339" s="84"/>
      <c r="II339" s="84"/>
      <c r="IJ339" s="84"/>
      <c r="IK339" s="84"/>
      <c r="IL339" s="84"/>
    </row>
    <row r="340" spans="1:246" s="83" customFormat="1" ht="16.5" customHeight="1">
      <c r="A340" s="43" t="s">
        <v>25</v>
      </c>
      <c r="B340" s="44"/>
      <c r="C340" s="70">
        <f t="shared" si="8"/>
        <v>1321</v>
      </c>
      <c r="D340" s="70">
        <v>1321</v>
      </c>
      <c r="E340" s="70">
        <v>0</v>
      </c>
      <c r="F340" s="70">
        <v>0</v>
      </c>
      <c r="G340" s="70">
        <v>0</v>
      </c>
      <c r="H340" s="74"/>
      <c r="I340" s="74"/>
      <c r="J340" s="74"/>
      <c r="IH340" s="84"/>
      <c r="II340" s="84"/>
      <c r="IJ340" s="84"/>
      <c r="IK340" s="84"/>
      <c r="IL340" s="84"/>
    </row>
    <row r="341" spans="1:246" s="83" customFormat="1" ht="16.5" customHeight="1">
      <c r="A341" s="43" t="s">
        <v>26</v>
      </c>
      <c r="B341" s="46"/>
      <c r="C341" s="70">
        <f t="shared" si="8"/>
        <v>1375</v>
      </c>
      <c r="D341" s="70">
        <v>1375</v>
      </c>
      <c r="E341" s="70">
        <v>0</v>
      </c>
      <c r="F341" s="70">
        <v>0</v>
      </c>
      <c r="G341" s="70">
        <v>0</v>
      </c>
      <c r="H341" s="74"/>
      <c r="I341" s="74"/>
      <c r="J341" s="74"/>
      <c r="IH341" s="84"/>
      <c r="II341" s="84"/>
      <c r="IJ341" s="84"/>
      <c r="IK341" s="84"/>
      <c r="IL341" s="84"/>
    </row>
    <row r="342" spans="1:246" s="83" customFormat="1" ht="16.5" customHeight="1">
      <c r="A342" s="35" t="s">
        <v>27</v>
      </c>
      <c r="B342" s="47"/>
      <c r="C342" s="70">
        <f t="shared" si="8"/>
        <v>4084</v>
      </c>
      <c r="D342" s="70">
        <v>0</v>
      </c>
      <c r="E342" s="70">
        <v>2042</v>
      </c>
      <c r="F342" s="70">
        <v>2042</v>
      </c>
      <c r="G342" s="70">
        <v>0</v>
      </c>
      <c r="H342" s="74"/>
      <c r="I342" s="74"/>
      <c r="J342" s="74"/>
      <c r="IH342" s="84"/>
      <c r="II342" s="84"/>
      <c r="IJ342" s="84"/>
      <c r="IK342" s="84"/>
      <c r="IL342" s="84"/>
    </row>
    <row r="343" spans="1:246" s="83" customFormat="1" ht="16.5" customHeight="1" hidden="1">
      <c r="A343" s="35"/>
      <c r="B343" s="73"/>
      <c r="C343" s="70"/>
      <c r="D343" s="70"/>
      <c r="E343" s="70"/>
      <c r="F343" s="70"/>
      <c r="G343" s="70"/>
      <c r="H343" s="74"/>
      <c r="I343" s="74"/>
      <c r="J343" s="74"/>
      <c r="IH343" s="84"/>
      <c r="II343" s="84"/>
      <c r="IJ343" s="84"/>
      <c r="IK343" s="84"/>
      <c r="IL343" s="84"/>
    </row>
    <row r="344" spans="1:246" s="83" customFormat="1" ht="16.5" customHeight="1" hidden="1">
      <c r="A344" s="36"/>
      <c r="B344" s="25"/>
      <c r="C344" s="100">
        <f>C345+C346+C347+C348</f>
        <v>6780</v>
      </c>
      <c r="D344" s="100">
        <f>D345+D346+D347+D348</f>
        <v>2696</v>
      </c>
      <c r="E344" s="100">
        <f>E345+E346+E347+E348</f>
        <v>2042</v>
      </c>
      <c r="F344" s="100">
        <f>F345+F346+F347+F348</f>
        <v>2042</v>
      </c>
      <c r="G344" s="100">
        <f>G345+G346+G347+G348</f>
        <v>0</v>
      </c>
      <c r="H344" s="74"/>
      <c r="I344" s="74"/>
      <c r="J344" s="74"/>
      <c r="IH344" s="84"/>
      <c r="II344" s="84"/>
      <c r="IJ344" s="84"/>
      <c r="IK344" s="84"/>
      <c r="IL344" s="84"/>
    </row>
    <row r="345" spans="1:246" s="83" customFormat="1" ht="16.5" customHeight="1" hidden="1">
      <c r="A345" s="35" t="s">
        <v>28</v>
      </c>
      <c r="B345" s="73"/>
      <c r="C345" s="70">
        <f>SUM(D345:F345)</f>
        <v>243</v>
      </c>
      <c r="D345" s="70">
        <v>243</v>
      </c>
      <c r="E345" s="70">
        <v>0</v>
      </c>
      <c r="F345" s="70">
        <v>0</v>
      </c>
      <c r="G345" s="70">
        <v>0</v>
      </c>
      <c r="H345" s="74"/>
      <c r="I345" s="74"/>
      <c r="J345" s="74"/>
      <c r="IH345" s="84"/>
      <c r="II345" s="84"/>
      <c r="IJ345" s="84"/>
      <c r="IK345" s="84"/>
      <c r="IL345" s="84"/>
    </row>
    <row r="346" spans="1:246" s="83" customFormat="1" ht="16.5" customHeight="1" hidden="1">
      <c r="A346" s="35" t="s">
        <v>29</v>
      </c>
      <c r="B346" s="73"/>
      <c r="C346" s="70">
        <f>SUM(D346:F346)</f>
        <v>1375</v>
      </c>
      <c r="D346" s="70">
        <v>1375</v>
      </c>
      <c r="E346" s="70">
        <v>0</v>
      </c>
      <c r="F346" s="70">
        <v>0</v>
      </c>
      <c r="G346" s="70">
        <v>0</v>
      </c>
      <c r="H346" s="74"/>
      <c r="I346" s="74"/>
      <c r="J346" s="74"/>
      <c r="IH346" s="84"/>
      <c r="II346" s="84"/>
      <c r="IJ346" s="84"/>
      <c r="IK346" s="84"/>
      <c r="IL346" s="84"/>
    </row>
    <row r="347" spans="1:246" s="83" customFormat="1" ht="16.5" customHeight="1" hidden="1">
      <c r="A347" s="35" t="s">
        <v>30</v>
      </c>
      <c r="B347" s="73"/>
      <c r="C347" s="70">
        <f>SUM(D347:F347)</f>
        <v>0</v>
      </c>
      <c r="D347" s="70">
        <v>0</v>
      </c>
      <c r="E347" s="70">
        <v>0</v>
      </c>
      <c r="F347" s="70">
        <v>0</v>
      </c>
      <c r="G347" s="70">
        <v>0</v>
      </c>
      <c r="H347" s="74"/>
      <c r="I347" s="74"/>
      <c r="J347" s="74"/>
      <c r="IH347" s="84"/>
      <c r="II347" s="84"/>
      <c r="IJ347" s="84"/>
      <c r="IK347" s="84"/>
      <c r="IL347" s="84"/>
    </row>
    <row r="348" spans="1:246" s="83" customFormat="1" ht="30" hidden="1">
      <c r="A348" s="49" t="s">
        <v>31</v>
      </c>
      <c r="B348" s="82"/>
      <c r="C348" s="70">
        <f>D348+E348+F348+G348</f>
        <v>5162</v>
      </c>
      <c r="D348" s="70">
        <v>1078</v>
      </c>
      <c r="E348" s="70">
        <v>2042</v>
      </c>
      <c r="F348" s="70">
        <v>2042</v>
      </c>
      <c r="G348" s="70">
        <v>0</v>
      </c>
      <c r="H348" s="74"/>
      <c r="I348" s="74"/>
      <c r="J348" s="74"/>
      <c r="IH348" s="84"/>
      <c r="II348" s="84"/>
      <c r="IJ348" s="84"/>
      <c r="IK348" s="84"/>
      <c r="IL348" s="84"/>
    </row>
    <row r="349" spans="1:246" s="79" customFormat="1" ht="19.5" customHeight="1">
      <c r="A349" s="156" t="s">
        <v>89</v>
      </c>
      <c r="B349" s="156"/>
      <c r="C349" s="26">
        <f>C239+C308+C319+C329+C339+C299+C290+C278+C269+C250+C260</f>
        <v>37976</v>
      </c>
      <c r="D349" s="26">
        <f>D239+D308+D319+D329+D339+D299+D290+D278+D269+D250+D260</f>
        <v>15310</v>
      </c>
      <c r="E349" s="26">
        <f>E239+E308+E319+E329+E339+E299+E290+E278+E269+E250+E260</f>
        <v>9641</v>
      </c>
      <c r="F349" s="26">
        <f>F239+F308+F319+F329+F339+F299+F290+F278+F269+F250+F260</f>
        <v>13025</v>
      </c>
      <c r="G349" s="26">
        <f>G239+G308+G319+G329+G339+G299+G290+G278+G269+G250+G260</f>
        <v>0</v>
      </c>
      <c r="H349" s="77"/>
      <c r="I349" s="78"/>
      <c r="J349" s="78"/>
      <c r="K349" s="79">
        <v>2859</v>
      </c>
      <c r="L349" s="91">
        <f>C349-K349</f>
        <v>35117</v>
      </c>
      <c r="IH349" s="80"/>
      <c r="II349" s="80"/>
      <c r="IJ349" s="80"/>
      <c r="IK349" s="80"/>
      <c r="IL349" s="80"/>
    </row>
    <row r="350" spans="1:246" s="67" customFormat="1" ht="18.75" customHeight="1" hidden="1">
      <c r="A350" s="159" t="s">
        <v>90</v>
      </c>
      <c r="B350" s="159"/>
      <c r="C350" s="159"/>
      <c r="D350" s="40"/>
      <c r="E350" s="40"/>
      <c r="F350" s="100"/>
      <c r="G350" s="100"/>
      <c r="H350" s="74"/>
      <c r="I350" s="75"/>
      <c r="J350" s="75"/>
      <c r="IH350" s="68"/>
      <c r="II350" s="68"/>
      <c r="IJ350" s="68"/>
      <c r="IK350" s="68"/>
      <c r="IL350" s="68"/>
    </row>
    <row r="351" spans="1:246" s="67" customFormat="1" ht="32.25" customHeight="1" hidden="1">
      <c r="A351" s="65" t="s">
        <v>91</v>
      </c>
      <c r="B351" s="22" t="s">
        <v>92</v>
      </c>
      <c r="C351" s="40" t="e">
        <f>D351+E351+F351+#REF!</f>
        <v>#REF!</v>
      </c>
      <c r="D351" s="40">
        <f>D352+D353+D354</f>
        <v>0</v>
      </c>
      <c r="E351" s="40">
        <f>E352+E353+E354</f>
        <v>0</v>
      </c>
      <c r="F351" s="40">
        <f>F352+F353+F354</f>
        <v>0</v>
      </c>
      <c r="G351" s="40">
        <f>G352+G353+G354</f>
        <v>0</v>
      </c>
      <c r="H351" s="74"/>
      <c r="I351" s="75"/>
      <c r="J351" s="75"/>
      <c r="IH351" s="68"/>
      <c r="II351" s="68"/>
      <c r="IJ351" s="68"/>
      <c r="IK351" s="68"/>
      <c r="IL351" s="68"/>
    </row>
    <row r="352" spans="1:246" s="67" customFormat="1" ht="16.5" customHeight="1" hidden="1">
      <c r="A352" s="43" t="s">
        <v>93</v>
      </c>
      <c r="B352" s="73"/>
      <c r="C352" s="70" t="e">
        <f>D352+E352+F352+#REF!</f>
        <v>#REF!</v>
      </c>
      <c r="D352" s="70"/>
      <c r="E352" s="70"/>
      <c r="F352" s="70"/>
      <c r="G352" s="70"/>
      <c r="H352" s="74"/>
      <c r="I352" s="75"/>
      <c r="J352" s="75"/>
      <c r="IH352" s="68"/>
      <c r="II352" s="68"/>
      <c r="IJ352" s="68"/>
      <c r="IK352" s="68"/>
      <c r="IL352" s="68"/>
    </row>
    <row r="353" spans="1:246" s="67" customFormat="1" ht="16.5" customHeight="1" hidden="1">
      <c r="A353" s="43" t="s">
        <v>94</v>
      </c>
      <c r="B353" s="73"/>
      <c r="C353" s="70" t="e">
        <f>D353+E353+F353+#REF!</f>
        <v>#REF!</v>
      </c>
      <c r="D353" s="70"/>
      <c r="E353" s="70"/>
      <c r="F353" s="70"/>
      <c r="G353" s="70"/>
      <c r="H353" s="74"/>
      <c r="I353" s="75"/>
      <c r="J353" s="75"/>
      <c r="IH353" s="68"/>
      <c r="II353" s="68"/>
      <c r="IJ353" s="68"/>
      <c r="IK353" s="68"/>
      <c r="IL353" s="68"/>
    </row>
    <row r="354" spans="1:246" s="67" customFormat="1" ht="16.5" customHeight="1" hidden="1">
      <c r="A354" s="43" t="s">
        <v>95</v>
      </c>
      <c r="B354" s="73"/>
      <c r="C354" s="70" t="e">
        <f>D354+E354+F354+#REF!</f>
        <v>#REF!</v>
      </c>
      <c r="D354" s="70"/>
      <c r="E354" s="70"/>
      <c r="F354" s="70"/>
      <c r="G354" s="70"/>
      <c r="H354" s="74"/>
      <c r="I354" s="75"/>
      <c r="J354" s="75"/>
      <c r="IH354" s="68"/>
      <c r="II354" s="68"/>
      <c r="IJ354" s="68"/>
      <c r="IK354" s="68"/>
      <c r="IL354" s="68"/>
    </row>
    <row r="355" spans="1:246" s="67" customFormat="1" ht="16.5" customHeight="1" hidden="1">
      <c r="A355" s="35"/>
      <c r="B355" s="73"/>
      <c r="C355" s="70"/>
      <c r="D355" s="70"/>
      <c r="E355" s="70"/>
      <c r="F355" s="70"/>
      <c r="G355" s="70"/>
      <c r="H355" s="74"/>
      <c r="I355" s="75"/>
      <c r="J355" s="75"/>
      <c r="IH355" s="68"/>
      <c r="II355" s="68"/>
      <c r="IJ355" s="68"/>
      <c r="IK355" s="68"/>
      <c r="IL355" s="68"/>
    </row>
    <row r="356" spans="1:246" s="79" customFormat="1" ht="16.5" customHeight="1" hidden="1">
      <c r="A356" s="36"/>
      <c r="B356" s="25"/>
      <c r="C356" s="100" t="e">
        <f>D356+E356+F356+#REF!</f>
        <v>#REF!</v>
      </c>
      <c r="D356" s="100">
        <f>D357+D358+D359+D360</f>
        <v>0</v>
      </c>
      <c r="E356" s="100">
        <f>E357+E358+E359+E360</f>
        <v>0</v>
      </c>
      <c r="F356" s="100">
        <f>F357+F358+F359+F360</f>
        <v>0</v>
      </c>
      <c r="G356" s="100">
        <f>G357+G358+G359+G360</f>
        <v>0</v>
      </c>
      <c r="H356" s="77"/>
      <c r="I356" s="78"/>
      <c r="J356" s="78"/>
      <c r="IH356" s="80"/>
      <c r="II356" s="80"/>
      <c r="IJ356" s="80"/>
      <c r="IK356" s="80"/>
      <c r="IL356" s="80"/>
    </row>
    <row r="357" spans="1:246" s="67" customFormat="1" ht="16.5" customHeight="1" hidden="1">
      <c r="A357" s="35" t="s">
        <v>28</v>
      </c>
      <c r="B357" s="73"/>
      <c r="C357" s="70" t="e">
        <f>D357+E357+F357+#REF!</f>
        <v>#REF!</v>
      </c>
      <c r="D357" s="70"/>
      <c r="E357" s="70"/>
      <c r="F357" s="70"/>
      <c r="G357" s="70"/>
      <c r="H357" s="74"/>
      <c r="I357" s="75"/>
      <c r="J357" s="75"/>
      <c r="IH357" s="68"/>
      <c r="II357" s="68"/>
      <c r="IJ357" s="68"/>
      <c r="IK357" s="68"/>
      <c r="IL357" s="68"/>
    </row>
    <row r="358" spans="1:246" s="67" customFormat="1" ht="16.5" customHeight="1" hidden="1">
      <c r="A358" s="35" t="s">
        <v>96</v>
      </c>
      <c r="B358" s="73"/>
      <c r="C358" s="70" t="e">
        <f>D358+E358+F358+#REF!</f>
        <v>#REF!</v>
      </c>
      <c r="D358" s="70"/>
      <c r="E358" s="70"/>
      <c r="F358" s="70"/>
      <c r="G358" s="70"/>
      <c r="H358" s="74"/>
      <c r="I358" s="75"/>
      <c r="J358" s="75"/>
      <c r="IH358" s="68"/>
      <c r="II358" s="68"/>
      <c r="IJ358" s="68"/>
      <c r="IK358" s="68"/>
      <c r="IL358" s="68"/>
    </row>
    <row r="359" spans="1:246" s="67" customFormat="1" ht="16.5" customHeight="1" hidden="1">
      <c r="A359" s="35" t="s">
        <v>97</v>
      </c>
      <c r="B359" s="73"/>
      <c r="C359" s="70">
        <f>SUM(D359:F359)</f>
        <v>0</v>
      </c>
      <c r="D359" s="70"/>
      <c r="E359" s="70"/>
      <c r="F359" s="70"/>
      <c r="G359" s="70"/>
      <c r="H359" s="74"/>
      <c r="I359" s="75"/>
      <c r="J359" s="75"/>
      <c r="IH359" s="68"/>
      <c r="II359" s="68"/>
      <c r="IJ359" s="68"/>
      <c r="IK359" s="68"/>
      <c r="IL359" s="68"/>
    </row>
    <row r="360" spans="1:246" s="83" customFormat="1" ht="30" hidden="1">
      <c r="A360" s="49" t="s">
        <v>31</v>
      </c>
      <c r="B360" s="82"/>
      <c r="C360" s="70" t="e">
        <f>D360+E360+F360+#REF!</f>
        <v>#REF!</v>
      </c>
      <c r="D360" s="70"/>
      <c r="E360" s="70"/>
      <c r="F360" s="70"/>
      <c r="G360" s="70"/>
      <c r="H360" s="74"/>
      <c r="I360" s="74"/>
      <c r="J360" s="74"/>
      <c r="IH360" s="84"/>
      <c r="II360" s="84"/>
      <c r="IJ360" s="84"/>
      <c r="IK360" s="84"/>
      <c r="IL360" s="84"/>
    </row>
    <row r="361" spans="1:246" s="79" customFormat="1" ht="20.25" customHeight="1" hidden="1">
      <c r="A361" s="156" t="s">
        <v>98</v>
      </c>
      <c r="B361" s="156"/>
      <c r="C361" s="26"/>
      <c r="D361" s="26">
        <f>D351</f>
        <v>0</v>
      </c>
      <c r="E361" s="26">
        <f>E351</f>
        <v>0</v>
      </c>
      <c r="F361" s="26">
        <f>F351</f>
        <v>0</v>
      </c>
      <c r="G361" s="26">
        <f>G351</f>
        <v>0</v>
      </c>
      <c r="H361" s="77"/>
      <c r="I361" s="78"/>
      <c r="J361" s="78"/>
      <c r="IH361" s="80"/>
      <c r="II361" s="80"/>
      <c r="IJ361" s="80"/>
      <c r="IK361" s="80"/>
      <c r="IL361" s="80"/>
    </row>
    <row r="362" spans="1:246" s="67" customFormat="1" ht="20.25" customHeight="1">
      <c r="A362" s="157" t="s">
        <v>99</v>
      </c>
      <c r="B362" s="157"/>
      <c r="C362" s="157"/>
      <c r="D362" s="100"/>
      <c r="E362" s="100"/>
      <c r="F362" s="70"/>
      <c r="G362" s="114"/>
      <c r="H362" s="74"/>
      <c r="I362" s="75"/>
      <c r="J362" s="75"/>
      <c r="IH362" s="68"/>
      <c r="II362" s="68"/>
      <c r="IJ362" s="68"/>
      <c r="IK362" s="68"/>
      <c r="IL362" s="68"/>
    </row>
    <row r="363" spans="1:245" s="67" customFormat="1" ht="150" customHeight="1">
      <c r="A363" s="22" t="s">
        <v>100</v>
      </c>
      <c r="B363" s="25" t="s">
        <v>101</v>
      </c>
      <c r="C363" s="40">
        <f>C364+C365+C366</f>
        <v>43752</v>
      </c>
      <c r="D363" s="40">
        <f>D364+D365+D366</f>
        <v>0</v>
      </c>
      <c r="E363" s="40">
        <f>E364+E365+E366</f>
        <v>0</v>
      </c>
      <c r="F363" s="40">
        <f>F364+F365+F366</f>
        <v>0</v>
      </c>
      <c r="G363" s="40">
        <f>G364+G365+G366</f>
        <v>0</v>
      </c>
      <c r="H363" s="85"/>
      <c r="I363" s="85"/>
      <c r="J363" s="85"/>
      <c r="K363" s="85"/>
      <c r="IG363" s="68"/>
      <c r="IH363" s="68"/>
      <c r="II363" s="68"/>
      <c r="IJ363" s="68"/>
      <c r="IK363" s="68"/>
    </row>
    <row r="364" spans="1:246" s="67" customFormat="1" ht="17.25" customHeight="1">
      <c r="A364" s="43" t="s">
        <v>25</v>
      </c>
      <c r="B364" s="73"/>
      <c r="C364" s="70">
        <f>43399*0.15</f>
        <v>6509.849999999999</v>
      </c>
      <c r="D364" s="70">
        <v>0</v>
      </c>
      <c r="E364" s="70">
        <v>0</v>
      </c>
      <c r="F364" s="70">
        <v>0</v>
      </c>
      <c r="G364" s="70">
        <v>0</v>
      </c>
      <c r="H364" s="152"/>
      <c r="I364" s="152"/>
      <c r="J364" s="153"/>
      <c r="K364" s="153"/>
      <c r="IH364" s="68"/>
      <c r="II364" s="68"/>
      <c r="IJ364" s="68"/>
      <c r="IK364" s="68"/>
      <c r="IL364" s="68"/>
    </row>
    <row r="365" spans="1:246" s="67" customFormat="1" ht="18" customHeight="1">
      <c r="A365" s="35" t="s">
        <v>26</v>
      </c>
      <c r="B365" s="73"/>
      <c r="C365" s="70">
        <f>43399*0.85</f>
        <v>36889.15</v>
      </c>
      <c r="D365" s="70">
        <v>0</v>
      </c>
      <c r="E365" s="70">
        <v>0</v>
      </c>
      <c r="F365" s="70">
        <v>0</v>
      </c>
      <c r="G365" s="70">
        <v>0</v>
      </c>
      <c r="H365" s="152"/>
      <c r="I365" s="152"/>
      <c r="J365" s="152"/>
      <c r="K365" s="153"/>
      <c r="IH365" s="68"/>
      <c r="II365" s="68"/>
      <c r="IJ365" s="68"/>
      <c r="IK365" s="68"/>
      <c r="IL365" s="68"/>
    </row>
    <row r="366" spans="1:246" s="67" customFormat="1" ht="18.75" customHeight="1">
      <c r="A366" s="35" t="s">
        <v>27</v>
      </c>
      <c r="B366" s="73"/>
      <c r="C366" s="70">
        <f>353</f>
        <v>353</v>
      </c>
      <c r="D366" s="70">
        <v>0</v>
      </c>
      <c r="E366" s="70">
        <v>0</v>
      </c>
      <c r="F366" s="70">
        <v>0</v>
      </c>
      <c r="G366" s="70">
        <v>0</v>
      </c>
      <c r="H366" s="85"/>
      <c r="I366" s="85"/>
      <c r="J366" s="85"/>
      <c r="K366" s="85"/>
      <c r="IH366" s="68"/>
      <c r="II366" s="68"/>
      <c r="IJ366" s="68"/>
      <c r="IK366" s="68"/>
      <c r="IL366" s="68"/>
    </row>
    <row r="367" spans="1:246" s="67" customFormat="1" ht="18.75" customHeight="1" hidden="1">
      <c r="A367" s="35"/>
      <c r="B367" s="73"/>
      <c r="C367" s="70"/>
      <c r="D367" s="70"/>
      <c r="E367" s="70"/>
      <c r="F367" s="70"/>
      <c r="G367" s="70"/>
      <c r="H367" s="74"/>
      <c r="I367" s="75"/>
      <c r="J367" s="75"/>
      <c r="IH367" s="68"/>
      <c r="II367" s="68"/>
      <c r="IJ367" s="68"/>
      <c r="IK367" s="68"/>
      <c r="IL367" s="68"/>
    </row>
    <row r="368" spans="1:246" s="79" customFormat="1" ht="18.75" customHeight="1" hidden="1">
      <c r="A368" s="36"/>
      <c r="B368" s="25"/>
      <c r="C368" s="76">
        <f>C369+C370+C371+C373+C372</f>
        <v>43752</v>
      </c>
      <c r="D368" s="76">
        <f>D369+D370+D371+D373+D372</f>
        <v>0</v>
      </c>
      <c r="E368" s="76">
        <f>E369+E370+E371+E373+E372</f>
        <v>0</v>
      </c>
      <c r="F368" s="76">
        <f>F369+F370+F371+F373+F372</f>
        <v>0</v>
      </c>
      <c r="G368" s="76">
        <f>G369+G370+G371+G373+G372</f>
        <v>0</v>
      </c>
      <c r="H368" s="77"/>
      <c r="I368" s="78"/>
      <c r="J368" s="78"/>
      <c r="IH368" s="80"/>
      <c r="II368" s="80"/>
      <c r="IJ368" s="80"/>
      <c r="IK368" s="80"/>
      <c r="IL368" s="80"/>
    </row>
    <row r="369" spans="1:246" s="79" customFormat="1" ht="18.75" customHeight="1" hidden="1">
      <c r="A369" s="35" t="s">
        <v>28</v>
      </c>
      <c r="B369" s="25"/>
      <c r="C369" s="81">
        <f>43399*0.13</f>
        <v>5641.87</v>
      </c>
      <c r="D369" s="81">
        <v>0</v>
      </c>
      <c r="E369" s="81">
        <v>0</v>
      </c>
      <c r="F369" s="115">
        <v>0</v>
      </c>
      <c r="G369" s="115">
        <v>0</v>
      </c>
      <c r="H369" s="74"/>
      <c r="I369" s="75"/>
      <c r="J369" s="75"/>
      <c r="K369" s="67"/>
      <c r="IH369" s="80"/>
      <c r="II369" s="80"/>
      <c r="IJ369" s="80"/>
      <c r="IK369" s="80"/>
      <c r="IL369" s="80"/>
    </row>
    <row r="370" spans="1:246" s="79" customFormat="1" ht="18.75" customHeight="1" hidden="1">
      <c r="A370" s="35" t="s">
        <v>29</v>
      </c>
      <c r="B370" s="25"/>
      <c r="C370" s="81">
        <f>43399*0.85-C372-C371</f>
        <v>11306.160000000002</v>
      </c>
      <c r="D370" s="81">
        <v>0</v>
      </c>
      <c r="E370" s="81">
        <v>0</v>
      </c>
      <c r="F370" s="81">
        <v>0</v>
      </c>
      <c r="G370" s="81">
        <v>0</v>
      </c>
      <c r="H370" s="74"/>
      <c r="I370" s="75"/>
      <c r="J370" s="75"/>
      <c r="K370" s="67"/>
      <c r="IH370" s="80"/>
      <c r="II370" s="80"/>
      <c r="IJ370" s="80"/>
      <c r="IK370" s="80"/>
      <c r="IL370" s="80"/>
    </row>
    <row r="371" spans="1:246" s="79" customFormat="1" ht="18.75" customHeight="1" hidden="1">
      <c r="A371" s="35" t="s">
        <v>30</v>
      </c>
      <c r="B371" s="25"/>
      <c r="C371" s="81">
        <f>13442*0.85*0.7</f>
        <v>7997.99</v>
      </c>
      <c r="D371" s="116">
        <v>0</v>
      </c>
      <c r="E371" s="81">
        <v>0</v>
      </c>
      <c r="F371" s="81">
        <v>0</v>
      </c>
      <c r="G371" s="81">
        <v>0</v>
      </c>
      <c r="H371" s="74"/>
      <c r="I371" s="75"/>
      <c r="J371" s="75"/>
      <c r="K371" s="67"/>
      <c r="IH371" s="80"/>
      <c r="II371" s="80"/>
      <c r="IJ371" s="80"/>
      <c r="IK371" s="80"/>
      <c r="IL371" s="80"/>
    </row>
    <row r="372" spans="1:246" s="79" customFormat="1" ht="18.75" customHeight="1" hidden="1">
      <c r="A372" s="35" t="s">
        <v>40</v>
      </c>
      <c r="B372" s="25"/>
      <c r="C372" s="81">
        <v>17585</v>
      </c>
      <c r="D372" s="81">
        <v>0</v>
      </c>
      <c r="E372" s="81">
        <v>0</v>
      </c>
      <c r="F372" s="81">
        <v>0</v>
      </c>
      <c r="G372" s="81">
        <v>0</v>
      </c>
      <c r="H372" s="74"/>
      <c r="I372" s="75"/>
      <c r="J372" s="75"/>
      <c r="K372" s="67"/>
      <c r="IH372" s="80"/>
      <c r="II372" s="80"/>
      <c r="IJ372" s="80"/>
      <c r="IK372" s="80"/>
      <c r="IL372" s="80"/>
    </row>
    <row r="373" spans="1:246" s="83" customFormat="1" ht="30" hidden="1">
      <c r="A373" s="49" t="s">
        <v>31</v>
      </c>
      <c r="B373" s="82"/>
      <c r="C373" s="81">
        <f>43399*2/100+C366</f>
        <v>1220.98</v>
      </c>
      <c r="D373" s="81">
        <v>0</v>
      </c>
      <c r="E373" s="81">
        <v>0</v>
      </c>
      <c r="F373" s="81">
        <v>0</v>
      </c>
      <c r="G373" s="81">
        <v>0</v>
      </c>
      <c r="H373" s="74"/>
      <c r="I373" s="74"/>
      <c r="J373" s="74"/>
      <c r="IH373" s="84"/>
      <c r="II373" s="84"/>
      <c r="IJ373" s="84"/>
      <c r="IK373" s="84"/>
      <c r="IL373" s="84"/>
    </row>
    <row r="374" spans="1:245" s="67" customFormat="1" ht="30.75" customHeight="1">
      <c r="A374" s="22" t="s">
        <v>100</v>
      </c>
      <c r="B374" s="25" t="s">
        <v>102</v>
      </c>
      <c r="C374" s="40">
        <f>C375+C376+C377</f>
        <v>53325</v>
      </c>
      <c r="D374" s="40">
        <f>D375+D376+D377</f>
        <v>0</v>
      </c>
      <c r="E374" s="40">
        <f>E375+E376+E377</f>
        <v>0</v>
      </c>
      <c r="F374" s="40">
        <f>F375+F376+F377</f>
        <v>0</v>
      </c>
      <c r="G374" s="40">
        <f>G375+G376+G377</f>
        <v>0</v>
      </c>
      <c r="H374" s="66"/>
      <c r="I374" s="66"/>
      <c r="J374" s="66"/>
      <c r="K374" s="66"/>
      <c r="IG374" s="68"/>
      <c r="IH374" s="68"/>
      <c r="II374" s="68"/>
      <c r="IJ374" s="68"/>
      <c r="IK374" s="68"/>
    </row>
    <row r="375" spans="1:246" s="67" customFormat="1" ht="16.5" customHeight="1">
      <c r="A375" s="43" t="s">
        <v>25</v>
      </c>
      <c r="B375" s="73"/>
      <c r="C375" s="70">
        <f>53207*0.15</f>
        <v>7981.049999999999</v>
      </c>
      <c r="D375" s="70">
        <v>0</v>
      </c>
      <c r="E375" s="70">
        <v>0</v>
      </c>
      <c r="F375" s="70">
        <v>0</v>
      </c>
      <c r="G375" s="70">
        <v>0</v>
      </c>
      <c r="H375" s="154"/>
      <c r="I375" s="154"/>
      <c r="J375" s="155"/>
      <c r="K375" s="155"/>
      <c r="IH375" s="68"/>
      <c r="II375" s="68"/>
      <c r="IJ375" s="68"/>
      <c r="IK375" s="68"/>
      <c r="IL375" s="68"/>
    </row>
    <row r="376" spans="1:246" s="67" customFormat="1" ht="16.5" customHeight="1">
      <c r="A376" s="35" t="s">
        <v>26</v>
      </c>
      <c r="B376" s="73"/>
      <c r="C376" s="70">
        <f>53207*0.85</f>
        <v>45225.95</v>
      </c>
      <c r="D376" s="70">
        <v>0</v>
      </c>
      <c r="E376" s="70">
        <v>0</v>
      </c>
      <c r="F376" s="70">
        <v>0</v>
      </c>
      <c r="G376" s="70">
        <v>0</v>
      </c>
      <c r="H376" s="154"/>
      <c r="I376" s="154"/>
      <c r="J376" s="154"/>
      <c r="K376" s="155"/>
      <c r="IH376" s="68"/>
      <c r="II376" s="68"/>
      <c r="IJ376" s="68"/>
      <c r="IK376" s="68"/>
      <c r="IL376" s="68"/>
    </row>
    <row r="377" spans="1:246" s="67" customFormat="1" ht="16.5" customHeight="1">
      <c r="A377" s="35" t="s">
        <v>27</v>
      </c>
      <c r="B377" s="73"/>
      <c r="C377" s="70">
        <v>118</v>
      </c>
      <c r="D377" s="70">
        <v>0</v>
      </c>
      <c r="E377" s="70">
        <v>0</v>
      </c>
      <c r="F377" s="70">
        <v>0</v>
      </c>
      <c r="G377" s="70">
        <v>0</v>
      </c>
      <c r="H377" s="66"/>
      <c r="I377" s="66"/>
      <c r="J377" s="66"/>
      <c r="K377" s="66"/>
      <c r="IH377" s="68"/>
      <c r="II377" s="68"/>
      <c r="IJ377" s="68"/>
      <c r="IK377" s="68"/>
      <c r="IL377" s="68"/>
    </row>
    <row r="378" spans="1:246" s="67" customFormat="1" ht="16.5" customHeight="1" hidden="1">
      <c r="A378" s="35"/>
      <c r="B378" s="73"/>
      <c r="C378" s="70"/>
      <c r="D378" s="70"/>
      <c r="E378" s="70"/>
      <c r="F378" s="70"/>
      <c r="G378" s="70"/>
      <c r="H378" s="74"/>
      <c r="I378" s="75"/>
      <c r="J378" s="75"/>
      <c r="IH378" s="68"/>
      <c r="II378" s="68"/>
      <c r="IJ378" s="68"/>
      <c r="IK378" s="68"/>
      <c r="IL378" s="68"/>
    </row>
    <row r="379" spans="1:246" s="67" customFormat="1" ht="16.5" customHeight="1" hidden="1">
      <c r="A379" s="35"/>
      <c r="B379" s="73"/>
      <c r="C379" s="76">
        <f>C380+C381+C382+C384+C383</f>
        <v>53325</v>
      </c>
      <c r="D379" s="76">
        <f>D380+D381+D382+D384+D383</f>
        <v>0</v>
      </c>
      <c r="E379" s="76">
        <f>E380+E381+E382+E384+E383</f>
        <v>0</v>
      </c>
      <c r="F379" s="76">
        <f>F380+F381+F382+F384+F383</f>
        <v>0</v>
      </c>
      <c r="G379" s="76">
        <f>G380+G381+G382+G384+G383</f>
        <v>0</v>
      </c>
      <c r="H379" s="77"/>
      <c r="I379" s="78"/>
      <c r="J379" s="78"/>
      <c r="K379" s="79"/>
      <c r="IH379" s="68"/>
      <c r="II379" s="68"/>
      <c r="IJ379" s="68"/>
      <c r="IK379" s="68"/>
      <c r="IL379" s="68"/>
    </row>
    <row r="380" spans="1:246" s="67" customFormat="1" ht="16.5" customHeight="1" hidden="1">
      <c r="A380" s="35" t="s">
        <v>28</v>
      </c>
      <c r="B380" s="73"/>
      <c r="C380" s="81">
        <f>53207*0.13</f>
        <v>6916.91</v>
      </c>
      <c r="D380" s="81">
        <v>0</v>
      </c>
      <c r="E380" s="81">
        <v>0</v>
      </c>
      <c r="F380" s="81">
        <v>0</v>
      </c>
      <c r="G380" s="81">
        <v>0</v>
      </c>
      <c r="H380" s="74"/>
      <c r="I380" s="75"/>
      <c r="J380" s="75"/>
      <c r="IH380" s="68"/>
      <c r="II380" s="68"/>
      <c r="IJ380" s="68"/>
      <c r="IK380" s="68"/>
      <c r="IL380" s="68"/>
    </row>
    <row r="381" spans="1:246" s="67" customFormat="1" ht="16.5" customHeight="1" hidden="1">
      <c r="A381" s="35" t="s">
        <v>29</v>
      </c>
      <c r="B381" s="73"/>
      <c r="C381" s="81">
        <f>53207*0.85-C383-C382</f>
        <v>27155.744999999995</v>
      </c>
      <c r="D381" s="81">
        <v>0</v>
      </c>
      <c r="E381" s="81">
        <v>0</v>
      </c>
      <c r="F381" s="81">
        <v>0</v>
      </c>
      <c r="G381" s="81">
        <v>0</v>
      </c>
      <c r="H381" s="74"/>
      <c r="I381" s="75"/>
      <c r="J381" s="75"/>
      <c r="IH381" s="68"/>
      <c r="II381" s="68"/>
      <c r="IJ381" s="68"/>
      <c r="IK381" s="68"/>
      <c r="IL381" s="68"/>
    </row>
    <row r="382" spans="1:246" s="67" customFormat="1" ht="16.5" customHeight="1" hidden="1">
      <c r="A382" s="35" t="s">
        <v>30</v>
      </c>
      <c r="B382" s="73"/>
      <c r="C382" s="81">
        <f>2239*0.85*0.7</f>
        <v>1332.205</v>
      </c>
      <c r="D382" s="81">
        <v>0</v>
      </c>
      <c r="E382" s="81">
        <v>0</v>
      </c>
      <c r="F382" s="81">
        <v>0</v>
      </c>
      <c r="G382" s="81">
        <v>0</v>
      </c>
      <c r="H382" s="74"/>
      <c r="I382" s="75"/>
      <c r="J382" s="75"/>
      <c r="IH382" s="68"/>
      <c r="II382" s="68"/>
      <c r="IJ382" s="68"/>
      <c r="IK382" s="68"/>
      <c r="IL382" s="68"/>
    </row>
    <row r="383" spans="1:246" s="79" customFormat="1" ht="16.5" customHeight="1" hidden="1">
      <c r="A383" s="35" t="s">
        <v>40</v>
      </c>
      <c r="B383" s="25"/>
      <c r="C383" s="81">
        <v>16738</v>
      </c>
      <c r="D383" s="81">
        <v>0</v>
      </c>
      <c r="E383" s="81">
        <v>0</v>
      </c>
      <c r="F383" s="81">
        <v>0</v>
      </c>
      <c r="G383" s="81">
        <v>0</v>
      </c>
      <c r="H383" s="74"/>
      <c r="I383" s="75"/>
      <c r="J383" s="75"/>
      <c r="K383" s="67"/>
      <c r="IH383" s="80"/>
      <c r="II383" s="80"/>
      <c r="IJ383" s="80"/>
      <c r="IK383" s="80"/>
      <c r="IL383" s="80"/>
    </row>
    <row r="384" spans="1:246" s="83" customFormat="1" ht="30" hidden="1">
      <c r="A384" s="49" t="s">
        <v>31</v>
      </c>
      <c r="B384" s="82"/>
      <c r="C384" s="81">
        <f>53207*2/100+C377</f>
        <v>1182.14</v>
      </c>
      <c r="D384" s="81">
        <v>0</v>
      </c>
      <c r="E384" s="81">
        <v>0</v>
      </c>
      <c r="F384" s="81">
        <v>0</v>
      </c>
      <c r="G384" s="81">
        <v>0</v>
      </c>
      <c r="H384" s="74"/>
      <c r="I384" s="74"/>
      <c r="J384" s="74"/>
      <c r="IH384" s="84"/>
      <c r="II384" s="84"/>
      <c r="IJ384" s="84"/>
      <c r="IK384" s="84"/>
      <c r="IL384" s="84"/>
    </row>
    <row r="385" spans="1:245" s="67" customFormat="1" ht="36" customHeight="1" hidden="1">
      <c r="A385" s="22" t="s">
        <v>100</v>
      </c>
      <c r="B385" s="25" t="s">
        <v>103</v>
      </c>
      <c r="C385" s="40"/>
      <c r="D385" s="40"/>
      <c r="E385" s="40"/>
      <c r="F385" s="40"/>
      <c r="G385" s="40"/>
      <c r="H385" s="85"/>
      <c r="I385" s="85"/>
      <c r="J385" s="85"/>
      <c r="K385" s="85"/>
      <c r="IG385" s="68"/>
      <c r="IH385" s="68"/>
      <c r="II385" s="68"/>
      <c r="IJ385" s="68"/>
      <c r="IK385" s="68"/>
    </row>
    <row r="386" spans="1:246" s="67" customFormat="1" ht="16.5" customHeight="1" hidden="1">
      <c r="A386" s="43" t="s">
        <v>25</v>
      </c>
      <c r="B386" s="73"/>
      <c r="C386" s="70"/>
      <c r="D386" s="70"/>
      <c r="E386" s="70"/>
      <c r="F386" s="70"/>
      <c r="G386" s="70"/>
      <c r="H386" s="152"/>
      <c r="I386" s="152"/>
      <c r="J386" s="153"/>
      <c r="K386" s="153"/>
      <c r="IH386" s="68"/>
      <c r="II386" s="68"/>
      <c r="IJ386" s="68"/>
      <c r="IK386" s="68"/>
      <c r="IL386" s="68"/>
    </row>
    <row r="387" spans="1:246" s="67" customFormat="1" ht="16.5" customHeight="1" hidden="1">
      <c r="A387" s="35" t="s">
        <v>26</v>
      </c>
      <c r="B387" s="73"/>
      <c r="C387" s="70"/>
      <c r="D387" s="70"/>
      <c r="E387" s="70"/>
      <c r="F387" s="70"/>
      <c r="G387" s="70"/>
      <c r="H387" s="152"/>
      <c r="I387" s="152"/>
      <c r="J387" s="152"/>
      <c r="K387" s="153"/>
      <c r="IH387" s="68"/>
      <c r="II387" s="68"/>
      <c r="IJ387" s="68"/>
      <c r="IK387" s="68"/>
      <c r="IL387" s="68"/>
    </row>
    <row r="388" spans="1:246" s="67" customFormat="1" ht="18" customHeight="1" hidden="1">
      <c r="A388" s="35" t="s">
        <v>27</v>
      </c>
      <c r="B388" s="73"/>
      <c r="C388" s="70"/>
      <c r="D388" s="70"/>
      <c r="E388" s="70"/>
      <c r="F388" s="70"/>
      <c r="G388" s="70"/>
      <c r="H388" s="85"/>
      <c r="I388" s="85"/>
      <c r="J388" s="85"/>
      <c r="K388" s="86"/>
      <c r="IH388" s="68"/>
      <c r="II388" s="68"/>
      <c r="IJ388" s="68"/>
      <c r="IK388" s="68"/>
      <c r="IL388" s="68"/>
    </row>
    <row r="389" spans="1:246" s="67" customFormat="1" ht="16.5" customHeight="1" hidden="1">
      <c r="A389" s="35"/>
      <c r="B389" s="73"/>
      <c r="C389" s="70"/>
      <c r="D389" s="70"/>
      <c r="E389" s="70"/>
      <c r="F389" s="70"/>
      <c r="G389" s="70"/>
      <c r="H389" s="74"/>
      <c r="I389" s="75"/>
      <c r="J389" s="75"/>
      <c r="IH389" s="68"/>
      <c r="II389" s="68"/>
      <c r="IJ389" s="68"/>
      <c r="IK389" s="68"/>
      <c r="IL389" s="68"/>
    </row>
    <row r="390" spans="1:246" s="79" customFormat="1" ht="16.5" customHeight="1" hidden="1">
      <c r="A390" s="36"/>
      <c r="B390" s="25"/>
      <c r="C390" s="76"/>
      <c r="D390" s="76"/>
      <c r="E390" s="76"/>
      <c r="F390" s="76"/>
      <c r="G390" s="76"/>
      <c r="H390" s="77"/>
      <c r="I390" s="78"/>
      <c r="J390" s="78"/>
      <c r="IH390" s="80"/>
      <c r="II390" s="80"/>
      <c r="IJ390" s="80"/>
      <c r="IK390" s="80"/>
      <c r="IL390" s="80"/>
    </row>
    <row r="391" spans="1:246" s="79" customFormat="1" ht="16.5" customHeight="1" hidden="1">
      <c r="A391" s="35" t="s">
        <v>28</v>
      </c>
      <c r="B391" s="25"/>
      <c r="C391" s="81"/>
      <c r="D391" s="81"/>
      <c r="E391" s="81"/>
      <c r="F391" s="81"/>
      <c r="G391" s="81"/>
      <c r="H391" s="74"/>
      <c r="I391" s="75"/>
      <c r="J391" s="75"/>
      <c r="K391" s="67"/>
      <c r="IH391" s="80"/>
      <c r="II391" s="80"/>
      <c r="IJ391" s="80"/>
      <c r="IK391" s="80"/>
      <c r="IL391" s="80"/>
    </row>
    <row r="392" spans="1:246" s="79" customFormat="1" ht="16.5" customHeight="1" hidden="1">
      <c r="A392" s="35" t="s">
        <v>29</v>
      </c>
      <c r="B392" s="25"/>
      <c r="C392" s="81"/>
      <c r="D392" s="81"/>
      <c r="E392" s="81"/>
      <c r="F392" s="81"/>
      <c r="G392" s="81"/>
      <c r="H392" s="74"/>
      <c r="I392" s="75"/>
      <c r="J392" s="75"/>
      <c r="K392" s="67"/>
      <c r="IH392" s="80"/>
      <c r="II392" s="80"/>
      <c r="IJ392" s="80"/>
      <c r="IK392" s="80"/>
      <c r="IL392" s="80"/>
    </row>
    <row r="393" spans="1:246" s="79" customFormat="1" ht="16.5" customHeight="1" hidden="1">
      <c r="A393" s="35" t="s">
        <v>30</v>
      </c>
      <c r="B393" s="25"/>
      <c r="C393" s="81"/>
      <c r="D393" s="81"/>
      <c r="E393" s="81"/>
      <c r="F393" s="81"/>
      <c r="G393" s="81"/>
      <c r="H393" s="74"/>
      <c r="I393" s="75"/>
      <c r="J393" s="75"/>
      <c r="K393" s="67"/>
      <c r="IH393" s="80"/>
      <c r="II393" s="80"/>
      <c r="IJ393" s="80"/>
      <c r="IK393" s="80"/>
      <c r="IL393" s="80"/>
    </row>
    <row r="394" spans="1:246" s="79" customFormat="1" ht="16.5" customHeight="1" hidden="1">
      <c r="A394" s="35" t="s">
        <v>40</v>
      </c>
      <c r="B394" s="25"/>
      <c r="C394" s="81"/>
      <c r="D394" s="81"/>
      <c r="E394" s="81"/>
      <c r="F394" s="81"/>
      <c r="G394" s="81"/>
      <c r="H394" s="74"/>
      <c r="I394" s="75"/>
      <c r="J394" s="75"/>
      <c r="K394" s="67"/>
      <c r="IH394" s="80"/>
      <c r="II394" s="80"/>
      <c r="IJ394" s="80"/>
      <c r="IK394" s="80"/>
      <c r="IL394" s="80"/>
    </row>
    <row r="395" spans="1:246" s="83" customFormat="1" ht="30" hidden="1">
      <c r="A395" s="49" t="s">
        <v>31</v>
      </c>
      <c r="B395" s="82"/>
      <c r="C395" s="81"/>
      <c r="D395" s="81"/>
      <c r="E395" s="81"/>
      <c r="F395" s="81"/>
      <c r="G395" s="81"/>
      <c r="H395" s="74"/>
      <c r="I395" s="74"/>
      <c r="J395" s="74"/>
      <c r="IH395" s="84"/>
      <c r="II395" s="84"/>
      <c r="IJ395" s="84"/>
      <c r="IK395" s="84"/>
      <c r="IL395" s="84"/>
    </row>
    <row r="396" spans="1:245" s="67" customFormat="1" ht="31.5" customHeight="1">
      <c r="A396" s="22" t="s">
        <v>100</v>
      </c>
      <c r="B396" s="25" t="s">
        <v>104</v>
      </c>
      <c r="C396" s="40">
        <f>C397+C398+C399</f>
        <v>146513.2</v>
      </c>
      <c r="D396" s="40">
        <f>D397+D398+D399</f>
        <v>0</v>
      </c>
      <c r="E396" s="40">
        <f>E397+E398+E399</f>
        <v>0</v>
      </c>
      <c r="F396" s="40">
        <f>F397+F398+F399</f>
        <v>0</v>
      </c>
      <c r="G396" s="40">
        <f>G397+G398+G399</f>
        <v>0</v>
      </c>
      <c r="H396" s="85"/>
      <c r="I396" s="85"/>
      <c r="J396" s="85"/>
      <c r="K396" s="85"/>
      <c r="IG396" s="68"/>
      <c r="IH396" s="68"/>
      <c r="II396" s="68"/>
      <c r="IJ396" s="68"/>
      <c r="IK396" s="68"/>
    </row>
    <row r="397" spans="1:246" s="67" customFormat="1" ht="16.5" customHeight="1">
      <c r="A397" s="43" t="s">
        <v>25</v>
      </c>
      <c r="B397" s="73"/>
      <c r="C397" s="70">
        <f>(123080+48)*0.15</f>
        <v>18469.2</v>
      </c>
      <c r="D397" s="70">
        <v>0</v>
      </c>
      <c r="E397" s="70">
        <v>0</v>
      </c>
      <c r="F397" s="70">
        <v>0</v>
      </c>
      <c r="G397" s="70">
        <v>0</v>
      </c>
      <c r="H397" s="152"/>
      <c r="I397" s="152"/>
      <c r="J397" s="153"/>
      <c r="K397" s="153"/>
      <c r="IH397" s="68"/>
      <c r="II397" s="68"/>
      <c r="IJ397" s="68"/>
      <c r="IK397" s="68"/>
      <c r="IL397" s="68"/>
    </row>
    <row r="398" spans="1:246" s="67" customFormat="1" ht="16.5" customHeight="1">
      <c r="A398" s="35" t="s">
        <v>26</v>
      </c>
      <c r="B398" s="73"/>
      <c r="C398" s="70">
        <f>(123080+48)*0.85</f>
        <v>104658.8</v>
      </c>
      <c r="D398" s="70">
        <v>0</v>
      </c>
      <c r="E398" s="70">
        <v>0</v>
      </c>
      <c r="F398" s="70">
        <v>0</v>
      </c>
      <c r="G398" s="70">
        <v>0</v>
      </c>
      <c r="H398" s="152"/>
      <c r="I398" s="152"/>
      <c r="J398" s="152"/>
      <c r="K398" s="153"/>
      <c r="IH398" s="68"/>
      <c r="II398" s="68"/>
      <c r="IJ398" s="68"/>
      <c r="IK398" s="68"/>
      <c r="IL398" s="68"/>
    </row>
    <row r="399" spans="1:246" s="67" customFormat="1" ht="17.25" customHeight="1">
      <c r="A399" s="35" t="s">
        <v>27</v>
      </c>
      <c r="B399" s="73"/>
      <c r="C399" s="70">
        <f>123080*0.19</f>
        <v>23385.2</v>
      </c>
      <c r="D399" s="70">
        <v>0</v>
      </c>
      <c r="E399" s="70">
        <v>0</v>
      </c>
      <c r="F399" s="70">
        <v>0</v>
      </c>
      <c r="G399" s="70">
        <v>0</v>
      </c>
      <c r="H399" s="85"/>
      <c r="I399" s="85"/>
      <c r="J399" s="85"/>
      <c r="K399" s="86"/>
      <c r="IH399" s="68"/>
      <c r="II399" s="68"/>
      <c r="IJ399" s="68"/>
      <c r="IK399" s="68"/>
      <c r="IL399" s="68"/>
    </row>
    <row r="400" spans="1:246" s="67" customFormat="1" ht="16.5" customHeight="1" hidden="1">
      <c r="A400" s="35"/>
      <c r="B400" s="73"/>
      <c r="C400" s="70"/>
      <c r="D400" s="70"/>
      <c r="E400" s="70"/>
      <c r="F400" s="70"/>
      <c r="G400" s="70"/>
      <c r="H400" s="87"/>
      <c r="I400" s="88"/>
      <c r="J400" s="88"/>
      <c r="K400" s="86"/>
      <c r="IH400" s="68"/>
      <c r="II400" s="68"/>
      <c r="IJ400" s="68"/>
      <c r="IK400" s="68"/>
      <c r="IL400" s="68"/>
    </row>
    <row r="401" spans="1:246" s="79" customFormat="1" ht="16.5" customHeight="1" hidden="1">
      <c r="A401" s="36"/>
      <c r="B401" s="25"/>
      <c r="C401" s="76">
        <f>C402+C403+C404+C406+C405</f>
        <v>146513.10000000003</v>
      </c>
      <c r="D401" s="76">
        <f>D402+D403+D404+D406+D405</f>
        <v>0</v>
      </c>
      <c r="E401" s="76">
        <f>E402+E403+E404+E406+E405</f>
        <v>0</v>
      </c>
      <c r="F401" s="76">
        <f>F402+F403+F404+F406+F405</f>
        <v>0</v>
      </c>
      <c r="G401" s="76">
        <f>G402+G403+G404+G406+G405</f>
        <v>0</v>
      </c>
      <c r="H401" s="77"/>
      <c r="I401" s="78"/>
      <c r="J401" s="78"/>
      <c r="IH401" s="80"/>
      <c r="II401" s="80"/>
      <c r="IJ401" s="80"/>
      <c r="IK401" s="80"/>
      <c r="IL401" s="80"/>
    </row>
    <row r="402" spans="1:246" s="67" customFormat="1" ht="16.5" customHeight="1" hidden="1">
      <c r="A402" s="35" t="s">
        <v>28</v>
      </c>
      <c r="B402" s="73"/>
      <c r="C402" s="81">
        <f>(123080+48)*0.13+123080*0.19</f>
        <v>39391.840000000004</v>
      </c>
      <c r="D402" s="81">
        <v>0</v>
      </c>
      <c r="E402" s="81">
        <v>0</v>
      </c>
      <c r="F402" s="81">
        <v>0</v>
      </c>
      <c r="G402" s="81">
        <v>0</v>
      </c>
      <c r="H402" s="74"/>
      <c r="I402" s="75"/>
      <c r="J402" s="75"/>
      <c r="IH402" s="68"/>
      <c r="II402" s="68"/>
      <c r="IJ402" s="68"/>
      <c r="IK402" s="68"/>
      <c r="IL402" s="68"/>
    </row>
    <row r="403" spans="1:246" s="67" customFormat="1" ht="16.5" customHeight="1" hidden="1">
      <c r="A403" s="35" t="s">
        <v>29</v>
      </c>
      <c r="B403" s="73"/>
      <c r="C403" s="81">
        <f>(123080+48)*0.85-C405-C404</f>
        <v>53643.8</v>
      </c>
      <c r="D403" s="81">
        <v>0</v>
      </c>
      <c r="E403" s="81">
        <v>0</v>
      </c>
      <c r="F403" s="81">
        <v>0</v>
      </c>
      <c r="G403" s="81">
        <v>0</v>
      </c>
      <c r="H403" s="74"/>
      <c r="I403" s="75"/>
      <c r="J403" s="75"/>
      <c r="IH403" s="68"/>
      <c r="II403" s="68"/>
      <c r="IJ403" s="68"/>
      <c r="IK403" s="68"/>
      <c r="IL403" s="68"/>
    </row>
    <row r="404" spans="1:246" s="67" customFormat="1" ht="16.5" customHeight="1" hidden="1">
      <c r="A404" s="35" t="s">
        <v>30</v>
      </c>
      <c r="B404" s="73"/>
      <c r="C404" s="81">
        <v>0</v>
      </c>
      <c r="D404" s="81">
        <v>0</v>
      </c>
      <c r="E404" s="81">
        <v>0</v>
      </c>
      <c r="F404" s="81">
        <v>0</v>
      </c>
      <c r="G404" s="81">
        <v>0</v>
      </c>
      <c r="H404" s="74"/>
      <c r="I404" s="75"/>
      <c r="J404" s="75"/>
      <c r="IH404" s="68"/>
      <c r="II404" s="68"/>
      <c r="IJ404" s="68"/>
      <c r="IK404" s="68"/>
      <c r="IL404" s="68"/>
    </row>
    <row r="405" spans="1:246" s="67" customFormat="1" ht="16.5" customHeight="1" hidden="1">
      <c r="A405" s="35" t="s">
        <v>40</v>
      </c>
      <c r="B405" s="73"/>
      <c r="C405" s="81">
        <v>51015</v>
      </c>
      <c r="D405" s="81">
        <v>0</v>
      </c>
      <c r="E405" s="81">
        <v>0</v>
      </c>
      <c r="F405" s="81">
        <v>0</v>
      </c>
      <c r="G405" s="81">
        <v>0</v>
      </c>
      <c r="H405" s="74"/>
      <c r="I405" s="75"/>
      <c r="J405" s="75"/>
      <c r="IH405" s="68"/>
      <c r="II405" s="68"/>
      <c r="IJ405" s="68"/>
      <c r="IK405" s="68"/>
      <c r="IL405" s="68"/>
    </row>
    <row r="406" spans="1:246" s="83" customFormat="1" ht="30" hidden="1">
      <c r="A406" s="49" t="s">
        <v>31</v>
      </c>
      <c r="B406" s="82"/>
      <c r="C406" s="81">
        <f>(123080+48)*2/100-0.1</f>
        <v>2462.46</v>
      </c>
      <c r="D406" s="81">
        <v>0</v>
      </c>
      <c r="E406" s="81">
        <v>0</v>
      </c>
      <c r="F406" s="81">
        <v>0</v>
      </c>
      <c r="G406" s="81">
        <v>0</v>
      </c>
      <c r="H406" s="74"/>
      <c r="I406" s="74"/>
      <c r="J406" s="74"/>
      <c r="IH406" s="84"/>
      <c r="II406" s="84"/>
      <c r="IJ406" s="84"/>
      <c r="IK406" s="84"/>
      <c r="IL406" s="84"/>
    </row>
    <row r="407" spans="1:245" s="67" customFormat="1" ht="93" customHeight="1">
      <c r="A407" s="102" t="s">
        <v>100</v>
      </c>
      <c r="B407" s="25" t="s">
        <v>105</v>
      </c>
      <c r="C407" s="40">
        <f>C408+C409+C410</f>
        <v>6620.999999999999</v>
      </c>
      <c r="D407" s="40">
        <f>D408+D409+D410</f>
        <v>0</v>
      </c>
      <c r="E407" s="40">
        <f>E408+E409+E410</f>
        <v>0</v>
      </c>
      <c r="F407" s="40">
        <f>F408+F409+F410</f>
        <v>0</v>
      </c>
      <c r="G407" s="40">
        <f>G408+G409+G410</f>
        <v>0</v>
      </c>
      <c r="H407" s="85"/>
      <c r="I407" s="85"/>
      <c r="J407" s="85"/>
      <c r="K407" s="85"/>
      <c r="L407" s="79"/>
      <c r="M407" s="79"/>
      <c r="IG407" s="68"/>
      <c r="IH407" s="68"/>
      <c r="II407" s="68"/>
      <c r="IJ407" s="68"/>
      <c r="IK407" s="68"/>
    </row>
    <row r="408" spans="1:246" s="67" customFormat="1" ht="16.5" customHeight="1">
      <c r="A408" s="43" t="s">
        <v>25</v>
      </c>
      <c r="B408" s="73"/>
      <c r="C408" s="70">
        <f>6621*0.15</f>
        <v>993.15</v>
      </c>
      <c r="D408" s="70">
        <v>0</v>
      </c>
      <c r="E408" s="70">
        <v>0</v>
      </c>
      <c r="F408" s="70">
        <v>0</v>
      </c>
      <c r="G408" s="70">
        <v>0</v>
      </c>
      <c r="H408" s="152"/>
      <c r="I408" s="152"/>
      <c r="J408" s="152"/>
      <c r="K408" s="153"/>
      <c r="IH408" s="68"/>
      <c r="II408" s="68"/>
      <c r="IJ408" s="68"/>
      <c r="IK408" s="68"/>
      <c r="IL408" s="68"/>
    </row>
    <row r="409" spans="1:246" s="67" customFormat="1" ht="16.5" customHeight="1">
      <c r="A409" s="35" t="s">
        <v>26</v>
      </c>
      <c r="B409" s="73"/>
      <c r="C409" s="70">
        <f>6621*0.85</f>
        <v>5627.849999999999</v>
      </c>
      <c r="D409" s="70">
        <v>0</v>
      </c>
      <c r="E409" s="70">
        <v>0</v>
      </c>
      <c r="F409" s="70">
        <v>0</v>
      </c>
      <c r="G409" s="70">
        <v>0</v>
      </c>
      <c r="H409" s="152"/>
      <c r="I409" s="152"/>
      <c r="J409" s="152"/>
      <c r="K409" s="153"/>
      <c r="IH409" s="68"/>
      <c r="II409" s="68"/>
      <c r="IJ409" s="68"/>
      <c r="IK409" s="68"/>
      <c r="IL409" s="68"/>
    </row>
    <row r="410" spans="1:246" s="67" customFormat="1" ht="16.5" customHeight="1">
      <c r="A410" s="35" t="s">
        <v>27</v>
      </c>
      <c r="B410" s="73"/>
      <c r="C410" s="70">
        <v>0</v>
      </c>
      <c r="D410" s="70">
        <v>0</v>
      </c>
      <c r="E410" s="70">
        <v>0</v>
      </c>
      <c r="F410" s="70">
        <v>0</v>
      </c>
      <c r="G410" s="70">
        <v>0</v>
      </c>
      <c r="H410" s="85"/>
      <c r="I410" s="85"/>
      <c r="J410" s="85"/>
      <c r="K410" s="86"/>
      <c r="IH410" s="68"/>
      <c r="II410" s="68"/>
      <c r="IJ410" s="68"/>
      <c r="IK410" s="68"/>
      <c r="IL410" s="68"/>
    </row>
    <row r="411" spans="1:246" s="67" customFormat="1" ht="16.5" customHeight="1" hidden="1">
      <c r="A411" s="35"/>
      <c r="B411" s="73"/>
      <c r="C411" s="70"/>
      <c r="D411" s="70"/>
      <c r="E411" s="70"/>
      <c r="F411" s="70"/>
      <c r="G411" s="70"/>
      <c r="H411" s="87"/>
      <c r="I411" s="88"/>
      <c r="J411" s="88"/>
      <c r="K411" s="86"/>
      <c r="IH411" s="68"/>
      <c r="II411" s="68"/>
      <c r="IJ411" s="68"/>
      <c r="IK411" s="68"/>
      <c r="IL411" s="68"/>
    </row>
    <row r="412" spans="1:246" s="67" customFormat="1" ht="16.5" customHeight="1" hidden="1">
      <c r="A412" s="35"/>
      <c r="B412" s="73"/>
      <c r="C412" s="76">
        <f>C413+C414+C415+C417+C416</f>
        <v>6621</v>
      </c>
      <c r="D412" s="76">
        <f>D413+D414+D415+D417+D416</f>
        <v>0</v>
      </c>
      <c r="E412" s="76">
        <f>E413+E414+E415+E417+E416</f>
        <v>0</v>
      </c>
      <c r="F412" s="76">
        <f>F413+F414+F415+F417+F416</f>
        <v>0</v>
      </c>
      <c r="G412" s="76">
        <f>G413+G414+G415+G417+G416</f>
        <v>0</v>
      </c>
      <c r="H412" s="89"/>
      <c r="I412" s="90"/>
      <c r="J412" s="90"/>
      <c r="K412" s="91"/>
      <c r="IH412" s="68"/>
      <c r="II412" s="68"/>
      <c r="IJ412" s="68"/>
      <c r="IK412" s="68"/>
      <c r="IL412" s="68"/>
    </row>
    <row r="413" spans="1:246" s="67" customFormat="1" ht="16.5" customHeight="1" hidden="1">
      <c r="A413" s="35" t="s">
        <v>28</v>
      </c>
      <c r="B413" s="73"/>
      <c r="C413" s="81">
        <f>6621*0.13</f>
        <v>860.73</v>
      </c>
      <c r="D413" s="81">
        <v>0</v>
      </c>
      <c r="E413" s="81">
        <v>0</v>
      </c>
      <c r="F413" s="81">
        <v>0</v>
      </c>
      <c r="G413" s="81">
        <v>0</v>
      </c>
      <c r="H413" s="74"/>
      <c r="I413" s="75"/>
      <c r="J413" s="75"/>
      <c r="IH413" s="68"/>
      <c r="II413" s="68"/>
      <c r="IJ413" s="68"/>
      <c r="IK413" s="68"/>
      <c r="IL413" s="68"/>
    </row>
    <row r="414" spans="1:246" s="67" customFormat="1" ht="16.5" customHeight="1" hidden="1">
      <c r="A414" s="35" t="s">
        <v>29</v>
      </c>
      <c r="B414" s="73"/>
      <c r="C414" s="81">
        <f>6621*0.85-C416-C415</f>
        <v>5474.849999999999</v>
      </c>
      <c r="D414" s="81">
        <v>0</v>
      </c>
      <c r="E414" s="81">
        <v>0</v>
      </c>
      <c r="F414" s="81">
        <v>0</v>
      </c>
      <c r="G414" s="81">
        <v>0</v>
      </c>
      <c r="H414" s="74"/>
      <c r="I414" s="75"/>
      <c r="J414" s="75"/>
      <c r="IH414" s="68"/>
      <c r="II414" s="68"/>
      <c r="IJ414" s="68"/>
      <c r="IK414" s="68"/>
      <c r="IL414" s="68"/>
    </row>
    <row r="415" spans="1:246" s="67" customFormat="1" ht="16.5" customHeight="1" hidden="1">
      <c r="A415" s="35" t="s">
        <v>30</v>
      </c>
      <c r="B415" s="73"/>
      <c r="C415" s="81">
        <f>180*0.85</f>
        <v>153</v>
      </c>
      <c r="D415" s="81">
        <v>0</v>
      </c>
      <c r="E415" s="81">
        <v>0</v>
      </c>
      <c r="F415" s="81">
        <v>0</v>
      </c>
      <c r="G415" s="81">
        <v>0</v>
      </c>
      <c r="H415" s="74"/>
      <c r="I415" s="75"/>
      <c r="J415" s="75"/>
      <c r="IH415" s="68"/>
      <c r="II415" s="68"/>
      <c r="IJ415" s="68"/>
      <c r="IK415" s="68"/>
      <c r="IL415" s="68"/>
    </row>
    <row r="416" spans="1:246" s="67" customFormat="1" ht="16.5" customHeight="1" hidden="1">
      <c r="A416" s="35" t="s">
        <v>40</v>
      </c>
      <c r="B416" s="73"/>
      <c r="C416" s="81">
        <v>0</v>
      </c>
      <c r="D416" s="81">
        <v>0</v>
      </c>
      <c r="E416" s="81">
        <v>0</v>
      </c>
      <c r="F416" s="81">
        <v>0</v>
      </c>
      <c r="G416" s="81">
        <v>0</v>
      </c>
      <c r="H416" s="74"/>
      <c r="I416" s="75"/>
      <c r="J416" s="75"/>
      <c r="IH416" s="68"/>
      <c r="II416" s="68"/>
      <c r="IJ416" s="68"/>
      <c r="IK416" s="68"/>
      <c r="IL416" s="68"/>
    </row>
    <row r="417" spans="1:246" s="67" customFormat="1" ht="30" hidden="1">
      <c r="A417" s="49" t="s">
        <v>31</v>
      </c>
      <c r="B417" s="73"/>
      <c r="C417" s="81">
        <f>6621*2/100+C410</f>
        <v>132.42</v>
      </c>
      <c r="D417" s="81">
        <v>0</v>
      </c>
      <c r="E417" s="81">
        <v>0</v>
      </c>
      <c r="F417" s="81">
        <v>0</v>
      </c>
      <c r="G417" s="81">
        <v>0</v>
      </c>
      <c r="H417" s="74"/>
      <c r="I417" s="74"/>
      <c r="J417" s="74"/>
      <c r="K417" s="83"/>
      <c r="IH417" s="68"/>
      <c r="II417" s="68"/>
      <c r="IJ417" s="68"/>
      <c r="IK417" s="68"/>
      <c r="IL417" s="68"/>
    </row>
    <row r="418" spans="1:246" s="67" customFormat="1" ht="30" customHeight="1">
      <c r="A418" s="102" t="s">
        <v>100</v>
      </c>
      <c r="B418" s="25" t="s">
        <v>106</v>
      </c>
      <c r="C418" s="40">
        <f>C419+C420+C421</f>
        <v>92321</v>
      </c>
      <c r="D418" s="40">
        <f>D419+D420+D421</f>
        <v>0</v>
      </c>
      <c r="E418" s="40">
        <f>E419+E420+E421</f>
        <v>0</v>
      </c>
      <c r="F418" s="40">
        <f>F419+F420+F421</f>
        <v>0</v>
      </c>
      <c r="G418" s="40">
        <f>G419+G420+G421</f>
        <v>0</v>
      </c>
      <c r="H418" s="85"/>
      <c r="I418" s="85"/>
      <c r="J418" s="85"/>
      <c r="K418" s="85"/>
      <c r="IH418" s="68"/>
      <c r="II418" s="68"/>
      <c r="IJ418" s="68"/>
      <c r="IK418" s="68"/>
      <c r="IL418" s="68"/>
    </row>
    <row r="419" spans="1:246" s="67" customFormat="1" ht="16.5" customHeight="1">
      <c r="A419" s="43" t="s">
        <v>25</v>
      </c>
      <c r="B419" s="73"/>
      <c r="C419" s="70">
        <f>78967*0.15</f>
        <v>11845.05</v>
      </c>
      <c r="D419" s="70">
        <v>0</v>
      </c>
      <c r="E419" s="70">
        <v>0</v>
      </c>
      <c r="F419" s="70">
        <v>0</v>
      </c>
      <c r="G419" s="70">
        <v>0</v>
      </c>
      <c r="H419" s="152"/>
      <c r="I419" s="152"/>
      <c r="J419" s="152"/>
      <c r="K419" s="153"/>
      <c r="IH419" s="68"/>
      <c r="II419" s="68"/>
      <c r="IJ419" s="68"/>
      <c r="IK419" s="68"/>
      <c r="IL419" s="68"/>
    </row>
    <row r="420" spans="1:246" s="67" customFormat="1" ht="16.5" customHeight="1">
      <c r="A420" s="35" t="s">
        <v>26</v>
      </c>
      <c r="B420" s="73"/>
      <c r="C420" s="70">
        <f>78967*0.85</f>
        <v>67121.95</v>
      </c>
      <c r="D420" s="70">
        <v>0</v>
      </c>
      <c r="E420" s="70">
        <v>0</v>
      </c>
      <c r="F420" s="70">
        <v>0</v>
      </c>
      <c r="G420" s="70">
        <v>0</v>
      </c>
      <c r="H420" s="152"/>
      <c r="I420" s="152"/>
      <c r="J420" s="152"/>
      <c r="K420" s="153"/>
      <c r="IH420" s="68"/>
      <c r="II420" s="68"/>
      <c r="IJ420" s="68"/>
      <c r="IK420" s="68"/>
      <c r="IL420" s="68"/>
    </row>
    <row r="421" spans="1:246" s="67" customFormat="1" ht="16.5" customHeight="1">
      <c r="A421" s="35" t="s">
        <v>27</v>
      </c>
      <c r="B421" s="73"/>
      <c r="C421" s="70">
        <v>13354</v>
      </c>
      <c r="D421" s="70">
        <v>0</v>
      </c>
      <c r="E421" s="70">
        <v>0</v>
      </c>
      <c r="F421" s="70">
        <v>0</v>
      </c>
      <c r="G421" s="70">
        <v>0</v>
      </c>
      <c r="H421" s="85"/>
      <c r="I421" s="85"/>
      <c r="J421" s="85"/>
      <c r="K421" s="86"/>
      <c r="IH421" s="68"/>
      <c r="II421" s="68"/>
      <c r="IJ421" s="68"/>
      <c r="IK421" s="68"/>
      <c r="IL421" s="68"/>
    </row>
    <row r="422" spans="1:246" s="67" customFormat="1" ht="16.5" customHeight="1" hidden="1">
      <c r="A422" s="35"/>
      <c r="B422" s="73"/>
      <c r="C422" s="70"/>
      <c r="D422" s="70"/>
      <c r="E422" s="70"/>
      <c r="F422" s="70"/>
      <c r="G422" s="70"/>
      <c r="H422" s="87"/>
      <c r="I422" s="88"/>
      <c r="J422" s="87"/>
      <c r="K422" s="86"/>
      <c r="IH422" s="68"/>
      <c r="II422" s="68"/>
      <c r="IJ422" s="68"/>
      <c r="IK422" s="68"/>
      <c r="IL422" s="68"/>
    </row>
    <row r="423" spans="1:246" s="67" customFormat="1" ht="16.5" customHeight="1" hidden="1">
      <c r="A423" s="35"/>
      <c r="B423" s="73"/>
      <c r="C423" s="76">
        <f>C424+C425+C426+C428+C427</f>
        <v>92321</v>
      </c>
      <c r="D423" s="76">
        <f>D424+D425+D426+D428+D427</f>
        <v>0</v>
      </c>
      <c r="E423" s="76">
        <f>E424+E425+E426+E428+E427</f>
        <v>0</v>
      </c>
      <c r="F423" s="76">
        <f>F424+F425+F426+F428+F427</f>
        <v>0</v>
      </c>
      <c r="G423" s="76">
        <f>G424+G425+G426+G428+G427</f>
        <v>0</v>
      </c>
      <c r="H423" s="89"/>
      <c r="I423" s="90"/>
      <c r="J423" s="90"/>
      <c r="K423" s="91"/>
      <c r="IH423" s="68"/>
      <c r="II423" s="68"/>
      <c r="IJ423" s="68"/>
      <c r="IK423" s="68"/>
      <c r="IL423" s="68"/>
    </row>
    <row r="424" spans="1:246" s="67" customFormat="1" ht="16.5" customHeight="1" hidden="1">
      <c r="A424" s="35" t="s">
        <v>28</v>
      </c>
      <c r="B424" s="73"/>
      <c r="C424" s="81">
        <f>78967*0.13+13354</f>
        <v>23619.71</v>
      </c>
      <c r="D424" s="81">
        <v>0</v>
      </c>
      <c r="E424" s="81">
        <v>0</v>
      </c>
      <c r="F424" s="81">
        <v>0</v>
      </c>
      <c r="G424" s="81">
        <v>0</v>
      </c>
      <c r="H424" s="74"/>
      <c r="I424" s="75"/>
      <c r="J424" s="75"/>
      <c r="IH424" s="68"/>
      <c r="II424" s="68"/>
      <c r="IJ424" s="68"/>
      <c r="IK424" s="68"/>
      <c r="IL424" s="68"/>
    </row>
    <row r="425" spans="1:246" s="67" customFormat="1" ht="16.5" customHeight="1" hidden="1">
      <c r="A425" s="35" t="s">
        <v>29</v>
      </c>
      <c r="B425" s="73"/>
      <c r="C425" s="81">
        <f>78967*0.85-C427-C426</f>
        <v>43383.95</v>
      </c>
      <c r="D425" s="81">
        <v>0</v>
      </c>
      <c r="E425" s="81">
        <v>0</v>
      </c>
      <c r="F425" s="81">
        <v>0</v>
      </c>
      <c r="G425" s="81">
        <v>0</v>
      </c>
      <c r="H425" s="74"/>
      <c r="I425" s="75"/>
      <c r="J425" s="75"/>
      <c r="IH425" s="68"/>
      <c r="II425" s="68"/>
      <c r="IJ425" s="68"/>
      <c r="IK425" s="68"/>
      <c r="IL425" s="68"/>
    </row>
    <row r="426" spans="1:246" s="67" customFormat="1" ht="16.5" customHeight="1" hidden="1">
      <c r="A426" s="35" t="s">
        <v>30</v>
      </c>
      <c r="B426" s="73"/>
      <c r="C426" s="81">
        <v>0</v>
      </c>
      <c r="D426" s="81">
        <v>0</v>
      </c>
      <c r="E426" s="81">
        <v>0</v>
      </c>
      <c r="F426" s="81">
        <v>0</v>
      </c>
      <c r="G426" s="81">
        <v>0</v>
      </c>
      <c r="H426" s="74"/>
      <c r="I426" s="75"/>
      <c r="J426" s="75"/>
      <c r="IH426" s="68"/>
      <c r="II426" s="68"/>
      <c r="IJ426" s="68"/>
      <c r="IK426" s="68"/>
      <c r="IL426" s="68"/>
    </row>
    <row r="427" spans="1:246" s="67" customFormat="1" ht="16.5" customHeight="1" hidden="1">
      <c r="A427" s="35" t="s">
        <v>40</v>
      </c>
      <c r="B427" s="73"/>
      <c r="C427" s="81">
        <v>23738</v>
      </c>
      <c r="D427" s="81">
        <v>0</v>
      </c>
      <c r="E427" s="81">
        <v>0</v>
      </c>
      <c r="F427" s="81">
        <v>0</v>
      </c>
      <c r="G427" s="81">
        <v>0</v>
      </c>
      <c r="H427" s="74"/>
      <c r="I427" s="75"/>
      <c r="J427" s="75"/>
      <c r="IH427" s="68"/>
      <c r="II427" s="68"/>
      <c r="IJ427" s="68"/>
      <c r="IK427" s="68"/>
      <c r="IL427" s="68"/>
    </row>
    <row r="428" spans="1:246" s="67" customFormat="1" ht="30" hidden="1">
      <c r="A428" s="49" t="s">
        <v>31</v>
      </c>
      <c r="B428" s="73"/>
      <c r="C428" s="81">
        <f>78967*2/100</f>
        <v>1579.34</v>
      </c>
      <c r="D428" s="81">
        <v>0</v>
      </c>
      <c r="E428" s="81">
        <v>0</v>
      </c>
      <c r="F428" s="81">
        <v>0</v>
      </c>
      <c r="G428" s="81">
        <v>0</v>
      </c>
      <c r="H428" s="74"/>
      <c r="I428" s="117"/>
      <c r="J428" s="74"/>
      <c r="K428" s="83"/>
      <c r="IH428" s="68"/>
      <c r="II428" s="68"/>
      <c r="IJ428" s="68"/>
      <c r="IK428" s="68"/>
      <c r="IL428" s="68"/>
    </row>
    <row r="429" spans="1:246" s="67" customFormat="1" ht="92.25" customHeight="1">
      <c r="A429" s="102" t="s">
        <v>107</v>
      </c>
      <c r="B429" s="99" t="s">
        <v>108</v>
      </c>
      <c r="C429" s="40">
        <f>C430+C431+C432</f>
        <v>844</v>
      </c>
      <c r="D429" s="40">
        <f>D430+D431+D432</f>
        <v>0</v>
      </c>
      <c r="E429" s="40">
        <f>E430+E431+E432</f>
        <v>0</v>
      </c>
      <c r="F429" s="40">
        <f>F430+F431+F432</f>
        <v>0</v>
      </c>
      <c r="G429" s="40">
        <f>G430+G431+G432</f>
        <v>0</v>
      </c>
      <c r="H429" s="74"/>
      <c r="I429" s="74"/>
      <c r="J429" s="74"/>
      <c r="K429" s="83"/>
      <c r="IH429" s="68"/>
      <c r="II429" s="68"/>
      <c r="IJ429" s="68"/>
      <c r="IK429" s="68"/>
      <c r="IL429" s="68"/>
    </row>
    <row r="430" spans="1:246" s="67" customFormat="1" ht="16.5" customHeight="1">
      <c r="A430" s="43" t="s">
        <v>25</v>
      </c>
      <c r="B430" s="73"/>
      <c r="C430" s="70">
        <f>844*0.15</f>
        <v>126.6</v>
      </c>
      <c r="D430" s="70">
        <v>0</v>
      </c>
      <c r="E430" s="70">
        <v>0</v>
      </c>
      <c r="F430" s="70">
        <v>0</v>
      </c>
      <c r="G430" s="70">
        <v>0</v>
      </c>
      <c r="H430" s="152"/>
      <c r="I430" s="152"/>
      <c r="J430" s="153"/>
      <c r="K430" s="153"/>
      <c r="IH430" s="68"/>
      <c r="II430" s="68"/>
      <c r="IJ430" s="68"/>
      <c r="IK430" s="68"/>
      <c r="IL430" s="68"/>
    </row>
    <row r="431" spans="1:246" s="67" customFormat="1" ht="16.5" customHeight="1">
      <c r="A431" s="35" t="s">
        <v>26</v>
      </c>
      <c r="B431" s="73"/>
      <c r="C431" s="70">
        <f>844*0.85</f>
        <v>717.4</v>
      </c>
      <c r="D431" s="70">
        <v>0</v>
      </c>
      <c r="E431" s="70">
        <v>0</v>
      </c>
      <c r="F431" s="70">
        <v>0</v>
      </c>
      <c r="G431" s="70">
        <v>0</v>
      </c>
      <c r="H431" s="152"/>
      <c r="I431" s="152"/>
      <c r="J431" s="152"/>
      <c r="K431" s="153"/>
      <c r="IH431" s="68"/>
      <c r="II431" s="68"/>
      <c r="IJ431" s="68"/>
      <c r="IK431" s="68"/>
      <c r="IL431" s="68"/>
    </row>
    <row r="432" spans="1:246" s="67" customFormat="1" ht="16.5" customHeight="1">
      <c r="A432" s="35" t="s">
        <v>27</v>
      </c>
      <c r="B432" s="73"/>
      <c r="C432" s="70">
        <v>0</v>
      </c>
      <c r="D432" s="70">
        <v>0</v>
      </c>
      <c r="E432" s="70">
        <v>0</v>
      </c>
      <c r="F432" s="70">
        <v>0</v>
      </c>
      <c r="G432" s="70">
        <v>0</v>
      </c>
      <c r="H432" s="85"/>
      <c r="I432" s="85"/>
      <c r="J432" s="85"/>
      <c r="K432" s="86"/>
      <c r="IH432" s="68"/>
      <c r="II432" s="68"/>
      <c r="IJ432" s="68"/>
      <c r="IK432" s="68"/>
      <c r="IL432" s="68"/>
    </row>
    <row r="433" spans="1:246" s="67" customFormat="1" ht="16.5" customHeight="1" hidden="1">
      <c r="A433" s="35"/>
      <c r="B433" s="73"/>
      <c r="C433" s="70"/>
      <c r="D433" s="70"/>
      <c r="E433" s="70"/>
      <c r="F433" s="70"/>
      <c r="G433" s="70"/>
      <c r="H433" s="87"/>
      <c r="I433" s="88"/>
      <c r="J433" s="87"/>
      <c r="K433" s="86"/>
      <c r="IH433" s="68"/>
      <c r="II433" s="68"/>
      <c r="IJ433" s="68"/>
      <c r="IK433" s="68"/>
      <c r="IL433" s="68"/>
    </row>
    <row r="434" spans="1:246" s="67" customFormat="1" ht="16.5" customHeight="1" hidden="1">
      <c r="A434" s="35"/>
      <c r="B434" s="73"/>
      <c r="C434" s="76">
        <f>C435+C436+C437+C439+C438</f>
        <v>844</v>
      </c>
      <c r="D434" s="76">
        <f>D435+D436+D437+D439+D438</f>
        <v>0</v>
      </c>
      <c r="E434" s="76">
        <f>E435+E436+E437+E439+E438</f>
        <v>0</v>
      </c>
      <c r="F434" s="76">
        <f>F435+F436+F437+F439+F438</f>
        <v>0</v>
      </c>
      <c r="G434" s="76">
        <f>G435+G436+G437+G439+G438</f>
        <v>0</v>
      </c>
      <c r="H434" s="89"/>
      <c r="I434" s="90"/>
      <c r="J434" s="90"/>
      <c r="K434" s="91"/>
      <c r="IH434" s="68"/>
      <c r="II434" s="68"/>
      <c r="IJ434" s="68"/>
      <c r="IK434" s="68"/>
      <c r="IL434" s="68"/>
    </row>
    <row r="435" spans="1:246" s="67" customFormat="1" ht="16.5" customHeight="1" hidden="1">
      <c r="A435" s="35" t="s">
        <v>28</v>
      </c>
      <c r="B435" s="73"/>
      <c r="C435" s="81">
        <f>844*0.13</f>
        <v>109.72</v>
      </c>
      <c r="D435" s="81">
        <v>0</v>
      </c>
      <c r="E435" s="81">
        <v>0</v>
      </c>
      <c r="F435" s="81">
        <v>0</v>
      </c>
      <c r="G435" s="81">
        <v>0</v>
      </c>
      <c r="H435" s="74"/>
      <c r="I435" s="75"/>
      <c r="J435" s="75"/>
      <c r="IH435" s="68"/>
      <c r="II435" s="68"/>
      <c r="IJ435" s="68"/>
      <c r="IK435" s="68"/>
      <c r="IL435" s="68"/>
    </row>
    <row r="436" spans="1:246" s="67" customFormat="1" ht="16.5" customHeight="1" hidden="1">
      <c r="A436" s="35" t="s">
        <v>29</v>
      </c>
      <c r="B436" s="73"/>
      <c r="C436" s="81">
        <f>844*0.85-C438-C437</f>
        <v>717.4</v>
      </c>
      <c r="D436" s="81">
        <v>0</v>
      </c>
      <c r="E436" s="81">
        <v>0</v>
      </c>
      <c r="F436" s="81">
        <v>0</v>
      </c>
      <c r="G436" s="81">
        <v>0</v>
      </c>
      <c r="H436" s="74"/>
      <c r="I436" s="75"/>
      <c r="J436" s="75"/>
      <c r="IH436" s="68"/>
      <c r="II436" s="68"/>
      <c r="IJ436" s="68"/>
      <c r="IK436" s="68"/>
      <c r="IL436" s="68"/>
    </row>
    <row r="437" spans="1:246" s="67" customFormat="1" ht="16.5" customHeight="1" hidden="1">
      <c r="A437" s="35" t="s">
        <v>30</v>
      </c>
      <c r="B437" s="73"/>
      <c r="C437" s="81">
        <v>0</v>
      </c>
      <c r="D437" s="81">
        <v>0</v>
      </c>
      <c r="E437" s="81">
        <v>0</v>
      </c>
      <c r="F437" s="81">
        <v>0</v>
      </c>
      <c r="G437" s="81">
        <v>0</v>
      </c>
      <c r="H437" s="74"/>
      <c r="I437" s="75"/>
      <c r="J437" s="75"/>
      <c r="IH437" s="68"/>
      <c r="II437" s="68"/>
      <c r="IJ437" s="68"/>
      <c r="IK437" s="68"/>
      <c r="IL437" s="68"/>
    </row>
    <row r="438" spans="1:246" s="67" customFormat="1" ht="16.5" customHeight="1" hidden="1">
      <c r="A438" s="35" t="s">
        <v>40</v>
      </c>
      <c r="B438" s="73"/>
      <c r="C438" s="81">
        <v>0</v>
      </c>
      <c r="D438" s="81">
        <v>0</v>
      </c>
      <c r="E438" s="81">
        <v>0</v>
      </c>
      <c r="F438" s="81">
        <v>0</v>
      </c>
      <c r="G438" s="81">
        <v>0</v>
      </c>
      <c r="H438" s="74"/>
      <c r="I438" s="75"/>
      <c r="J438" s="75"/>
      <c r="IH438" s="68"/>
      <c r="II438" s="68"/>
      <c r="IJ438" s="68"/>
      <c r="IK438" s="68"/>
      <c r="IL438" s="68"/>
    </row>
    <row r="439" spans="1:246" s="67" customFormat="1" ht="30" hidden="1">
      <c r="A439" s="49" t="s">
        <v>31</v>
      </c>
      <c r="B439" s="73"/>
      <c r="C439" s="81">
        <f>844*2/100+C432</f>
        <v>16.88</v>
      </c>
      <c r="D439" s="81">
        <v>0</v>
      </c>
      <c r="E439" s="81">
        <v>0</v>
      </c>
      <c r="F439" s="81">
        <v>0</v>
      </c>
      <c r="G439" s="81">
        <v>0</v>
      </c>
      <c r="H439" s="74"/>
      <c r="I439" s="74"/>
      <c r="J439" s="74"/>
      <c r="K439" s="83"/>
      <c r="IH439" s="68"/>
      <c r="II439" s="68"/>
      <c r="IJ439" s="68"/>
      <c r="IK439" s="68"/>
      <c r="IL439" s="68"/>
    </row>
    <row r="440" spans="1:246" s="83" customFormat="1" ht="33.75" customHeight="1">
      <c r="A440" s="65" t="s">
        <v>100</v>
      </c>
      <c r="B440" s="65" t="s">
        <v>109</v>
      </c>
      <c r="C440" s="100">
        <f>C441+C442+C443</f>
        <v>56</v>
      </c>
      <c r="D440" s="113">
        <f>D441+D442+D443</f>
        <v>0</v>
      </c>
      <c r="E440" s="113">
        <f>E441+E442+E443</f>
        <v>0</v>
      </c>
      <c r="F440" s="113">
        <f>F441+F442+F443</f>
        <v>0</v>
      </c>
      <c r="G440" s="113">
        <f>G441+G442+G443</f>
        <v>0</v>
      </c>
      <c r="H440" s="74"/>
      <c r="I440" s="74"/>
      <c r="J440" s="74"/>
      <c r="IH440" s="84"/>
      <c r="II440" s="84"/>
      <c r="IJ440" s="84"/>
      <c r="IK440" s="84"/>
      <c r="IL440" s="84"/>
    </row>
    <row r="441" spans="1:246" s="83" customFormat="1" ht="16.5" customHeight="1">
      <c r="A441" s="29" t="s">
        <v>13</v>
      </c>
      <c r="B441" s="30" t="s">
        <v>14</v>
      </c>
      <c r="C441" s="118">
        <v>47</v>
      </c>
      <c r="D441" s="109"/>
      <c r="E441" s="109"/>
      <c r="F441" s="109"/>
      <c r="G441" s="109"/>
      <c r="H441" s="74"/>
      <c r="I441" s="74"/>
      <c r="J441" s="74"/>
      <c r="IH441" s="84"/>
      <c r="II441" s="84"/>
      <c r="IJ441" s="84"/>
      <c r="IK441" s="84"/>
      <c r="IL441" s="84"/>
    </row>
    <row r="442" spans="1:246" s="83" customFormat="1" ht="16.5" customHeight="1">
      <c r="A442" s="29" t="s">
        <v>15</v>
      </c>
      <c r="B442" s="30" t="s">
        <v>16</v>
      </c>
      <c r="C442" s="118">
        <v>0</v>
      </c>
      <c r="D442" s="109"/>
      <c r="E442" s="109"/>
      <c r="F442" s="109"/>
      <c r="G442" s="109"/>
      <c r="H442" s="74"/>
      <c r="I442" s="74"/>
      <c r="J442" s="74"/>
      <c r="IH442" s="84"/>
      <c r="II442" s="84"/>
      <c r="IJ442" s="84"/>
      <c r="IK442" s="84"/>
      <c r="IL442" s="84"/>
    </row>
    <row r="443" spans="1:246" s="83" customFormat="1" ht="16.5" customHeight="1">
      <c r="A443" s="34" t="s">
        <v>17</v>
      </c>
      <c r="B443" s="30" t="s">
        <v>18</v>
      </c>
      <c r="C443" s="118">
        <v>9</v>
      </c>
      <c r="D443" s="109"/>
      <c r="E443" s="109"/>
      <c r="F443" s="109"/>
      <c r="G443" s="109"/>
      <c r="H443" s="74"/>
      <c r="I443" s="74"/>
      <c r="J443" s="74"/>
      <c r="IH443" s="84"/>
      <c r="II443" s="84"/>
      <c r="IJ443" s="84"/>
      <c r="IK443" s="84"/>
      <c r="IL443" s="84"/>
    </row>
    <row r="444" spans="1:246" s="83" customFormat="1" ht="16.5" customHeight="1" hidden="1">
      <c r="A444" s="34"/>
      <c r="B444" s="110"/>
      <c r="C444" s="101"/>
      <c r="D444" s="109"/>
      <c r="E444" s="109"/>
      <c r="F444" s="109"/>
      <c r="G444" s="109"/>
      <c r="H444" s="74"/>
      <c r="I444" s="119"/>
      <c r="J444" s="74"/>
      <c r="IH444" s="84"/>
      <c r="II444" s="84"/>
      <c r="IJ444" s="84"/>
      <c r="IK444" s="84"/>
      <c r="IL444" s="84"/>
    </row>
    <row r="445" spans="1:246" s="83" customFormat="1" ht="16.5" customHeight="1" hidden="1">
      <c r="A445" s="111"/>
      <c r="B445" s="99"/>
      <c r="C445" s="41">
        <f>C446+C447+C448</f>
        <v>56</v>
      </c>
      <c r="D445" s="27">
        <f>D446+D447+D448</f>
        <v>0</v>
      </c>
      <c r="E445" s="27">
        <f>E446+E447+E448</f>
        <v>0</v>
      </c>
      <c r="F445" s="27">
        <f>F446+F447+F448</f>
        <v>0</v>
      </c>
      <c r="G445" s="27">
        <f>G446+G447+G448</f>
        <v>0</v>
      </c>
      <c r="H445" s="74"/>
      <c r="I445" s="119"/>
      <c r="J445" s="74"/>
      <c r="IH445" s="84"/>
      <c r="II445" s="84"/>
      <c r="IJ445" s="84"/>
      <c r="IK445" s="84"/>
      <c r="IL445" s="84"/>
    </row>
    <row r="446" spans="1:246" s="83" customFormat="1" ht="16.5" customHeight="1" hidden="1">
      <c r="A446" s="34" t="s">
        <v>19</v>
      </c>
      <c r="B446" s="38" t="s">
        <v>14</v>
      </c>
      <c r="C446" s="101">
        <f>C441</f>
        <v>47</v>
      </c>
      <c r="D446" s="109"/>
      <c r="E446" s="109"/>
      <c r="F446" s="109"/>
      <c r="G446" s="109"/>
      <c r="H446" s="74"/>
      <c r="I446" s="119"/>
      <c r="J446" s="74"/>
      <c r="IH446" s="84"/>
      <c r="II446" s="84"/>
      <c r="IJ446" s="84"/>
      <c r="IK446" s="84"/>
      <c r="IL446" s="84"/>
    </row>
    <row r="447" spans="1:246" s="83" customFormat="1" ht="16.5" customHeight="1" hidden="1">
      <c r="A447" s="34" t="s">
        <v>20</v>
      </c>
      <c r="B447" s="38" t="s">
        <v>21</v>
      </c>
      <c r="C447" s="101">
        <f>C442</f>
        <v>0</v>
      </c>
      <c r="D447" s="109"/>
      <c r="E447" s="109"/>
      <c r="F447" s="109"/>
      <c r="G447" s="109"/>
      <c r="H447" s="74"/>
      <c r="I447" s="74"/>
      <c r="J447" s="74"/>
      <c r="IH447" s="84"/>
      <c r="II447" s="84"/>
      <c r="IJ447" s="84"/>
      <c r="IK447" s="84"/>
      <c r="IL447" s="84"/>
    </row>
    <row r="448" spans="1:246" s="83" customFormat="1" ht="16.5" customHeight="1" hidden="1">
      <c r="A448" s="34" t="s">
        <v>22</v>
      </c>
      <c r="B448" s="38" t="s">
        <v>18</v>
      </c>
      <c r="C448" s="101">
        <f>C443</f>
        <v>9</v>
      </c>
      <c r="D448" s="109"/>
      <c r="E448" s="109"/>
      <c r="F448" s="109"/>
      <c r="G448" s="109"/>
      <c r="H448" s="74"/>
      <c r="I448" s="74"/>
      <c r="J448" s="74"/>
      <c r="IH448" s="84"/>
      <c r="II448" s="84"/>
      <c r="IJ448" s="84"/>
      <c r="IK448" s="84"/>
      <c r="IL448" s="84"/>
    </row>
    <row r="449" spans="1:246" s="79" customFormat="1" ht="16.5" customHeight="1">
      <c r="A449" s="149" t="s">
        <v>110</v>
      </c>
      <c r="B449" s="149"/>
      <c r="C449" s="120">
        <f>C363+C374+C385+C396+C407+C418+C429+C440</f>
        <v>343432.2</v>
      </c>
      <c r="D449" s="121">
        <f>D363+D374+D385+D396+D407+D418+D429+D440</f>
        <v>0</v>
      </c>
      <c r="E449" s="121">
        <f>E363+E374+E385+E396+E407+E418+E429+E440</f>
        <v>0</v>
      </c>
      <c r="F449" s="121">
        <f>F363+F374+F385+F396+F407+F418+F429+F440</f>
        <v>0</v>
      </c>
      <c r="G449" s="121">
        <f>G363+G374+G385+G396+G407+G418+G429+G440</f>
        <v>0</v>
      </c>
      <c r="H449" s="122">
        <f>C373+C384+C406+C417+C428+C439</f>
        <v>6594.22</v>
      </c>
      <c r="I449" s="78"/>
      <c r="J449" s="78"/>
      <c r="IH449" s="80"/>
      <c r="II449" s="80"/>
      <c r="IJ449" s="80"/>
      <c r="IK449" s="80"/>
      <c r="IL449" s="80"/>
    </row>
    <row r="450" spans="1:243" ht="16.5" customHeight="1">
      <c r="A450" s="123"/>
      <c r="B450" s="16" t="s">
        <v>111</v>
      </c>
      <c r="C450" s="42">
        <f>C175+C213+C237+C349+C361+C449</f>
        <v>527888.2</v>
      </c>
      <c r="D450" s="42">
        <f>D175+D213+D237+D349+D361+D449</f>
        <v>62590</v>
      </c>
      <c r="E450" s="42">
        <f>E175+E213+E237+E349+E361+E449</f>
        <v>54509</v>
      </c>
      <c r="F450" s="42">
        <f>F175+F213+F237+F349+F361+F449</f>
        <v>43141</v>
      </c>
      <c r="G450" s="42">
        <v>87406</v>
      </c>
      <c r="IH450" s="1"/>
      <c r="II450" s="1"/>
    </row>
    <row r="451" spans="1:246" s="66" customFormat="1" ht="46.5" customHeight="1">
      <c r="A451" s="124"/>
      <c r="B451" s="125" t="s">
        <v>112</v>
      </c>
      <c r="C451" s="126">
        <f aca="true" t="shared" si="9" ref="C451:G453">C35+C45+C55+C65+C75+C85+C95+C105+C116+C137+C147+C183+C193+C201+C209+C233+C245+C314+C325+C335+C345+C369+C380+C402+C413+C424+C435</f>
        <v>87179.66</v>
      </c>
      <c r="D451" s="126">
        <f t="shared" si="9"/>
        <v>3496.88</v>
      </c>
      <c r="E451" s="126">
        <f t="shared" si="9"/>
        <v>3553</v>
      </c>
      <c r="F451" s="126">
        <f t="shared" si="9"/>
        <v>2363</v>
      </c>
      <c r="G451" s="126">
        <f t="shared" si="9"/>
        <v>1226</v>
      </c>
      <c r="H451" s="87"/>
      <c r="IH451" s="3"/>
      <c r="II451" s="3"/>
      <c r="IJ451" s="3"/>
      <c r="IK451" s="3"/>
      <c r="IL451" s="3"/>
    </row>
    <row r="452" spans="1:246" s="66" customFormat="1" ht="15.75" customHeight="1">
      <c r="A452" s="124"/>
      <c r="B452" s="125" t="s">
        <v>113</v>
      </c>
      <c r="C452" s="126">
        <f t="shared" si="9"/>
        <v>253558.905</v>
      </c>
      <c r="D452" s="126">
        <f t="shared" si="9"/>
        <v>40318</v>
      </c>
      <c r="E452" s="126">
        <f t="shared" si="9"/>
        <v>39425</v>
      </c>
      <c r="F452" s="126">
        <f t="shared" si="9"/>
        <v>21612</v>
      </c>
      <c r="G452" s="126">
        <f t="shared" si="9"/>
        <v>10522</v>
      </c>
      <c r="H452" s="127"/>
      <c r="I452" s="91"/>
      <c r="J452" s="75"/>
      <c r="L452" s="79"/>
      <c r="M452" s="79"/>
      <c r="IH452" s="3"/>
      <c r="II452" s="3"/>
      <c r="IJ452" s="3"/>
      <c r="IK452" s="3"/>
      <c r="IL452" s="3"/>
    </row>
    <row r="453" spans="1:246" s="66" customFormat="1" ht="16.5" customHeight="1">
      <c r="A453" s="124"/>
      <c r="B453" s="125" t="s">
        <v>114</v>
      </c>
      <c r="C453" s="126">
        <f t="shared" si="9"/>
        <v>17655.235</v>
      </c>
      <c r="D453" s="126">
        <f t="shared" si="9"/>
        <v>4604.04</v>
      </c>
      <c r="E453" s="126">
        <f t="shared" si="9"/>
        <v>3568</v>
      </c>
      <c r="F453" s="126">
        <f t="shared" si="9"/>
        <v>0</v>
      </c>
      <c r="G453" s="126">
        <f t="shared" si="9"/>
        <v>0</v>
      </c>
      <c r="H453" s="127"/>
      <c r="I453" s="91"/>
      <c r="J453" s="75"/>
      <c r="L453" s="79"/>
      <c r="M453" s="79"/>
      <c r="IH453" s="3"/>
      <c r="II453" s="3"/>
      <c r="IJ453" s="3"/>
      <c r="IK453" s="3"/>
      <c r="IL453" s="3"/>
    </row>
    <row r="454" spans="1:246" s="66" customFormat="1" ht="15" customHeight="1">
      <c r="A454" s="124"/>
      <c r="B454" s="128" t="s">
        <v>115</v>
      </c>
      <c r="C454" s="126">
        <f>C232</f>
        <v>6366</v>
      </c>
      <c r="D454" s="126">
        <f>D232</f>
        <v>0</v>
      </c>
      <c r="E454" s="126">
        <f>E232</f>
        <v>6366</v>
      </c>
      <c r="F454" s="126">
        <f>F232</f>
        <v>0</v>
      </c>
      <c r="G454" s="126">
        <f>G232</f>
        <v>0</v>
      </c>
      <c r="H454" s="127"/>
      <c r="I454" s="91"/>
      <c r="J454" s="75"/>
      <c r="L454" s="79"/>
      <c r="M454" s="79"/>
      <c r="IH454" s="3"/>
      <c r="II454" s="3"/>
      <c r="IJ454" s="3"/>
      <c r="IK454" s="3"/>
      <c r="IL454" s="3"/>
    </row>
    <row r="455" spans="1:246" s="66" customFormat="1" ht="28.5" customHeight="1">
      <c r="A455" s="124"/>
      <c r="B455" s="125" t="s">
        <v>116</v>
      </c>
      <c r="C455" s="126">
        <f>C456+C457</f>
        <v>3702</v>
      </c>
      <c r="D455" s="126">
        <f>D456+D457</f>
        <v>3111</v>
      </c>
      <c r="E455" s="126">
        <f>E456+E457</f>
        <v>479</v>
      </c>
      <c r="F455" s="126">
        <f>F456+F457</f>
        <v>112</v>
      </c>
      <c r="G455" s="126">
        <f>G456+G457</f>
        <v>0</v>
      </c>
      <c r="H455" s="127"/>
      <c r="I455" s="91"/>
      <c r="J455" s="75"/>
      <c r="L455" s="79"/>
      <c r="M455" s="79"/>
      <c r="IH455" s="3"/>
      <c r="II455" s="3"/>
      <c r="IJ455" s="3"/>
      <c r="IK455" s="3"/>
      <c r="IL455" s="3"/>
    </row>
    <row r="456" spans="1:246" s="66" customFormat="1" ht="14.25" customHeight="1">
      <c r="A456" s="124"/>
      <c r="B456" s="129" t="s">
        <v>117</v>
      </c>
      <c r="C456" s="130">
        <f>C256+C284+C296+C305+C275</f>
        <v>3088</v>
      </c>
      <c r="D456" s="130">
        <f>D256+D284+D296+D305+D275</f>
        <v>2606</v>
      </c>
      <c r="E456" s="130">
        <f>E256+E284+E296+E305+E275</f>
        <v>388</v>
      </c>
      <c r="F456" s="130">
        <f>F256+F284+F296+F305+F275</f>
        <v>94</v>
      </c>
      <c r="G456" s="130">
        <f>G256+G284+G296+G305+G275</f>
        <v>0</v>
      </c>
      <c r="H456" s="92"/>
      <c r="I456" s="86"/>
      <c r="J456" s="75"/>
      <c r="L456" s="67"/>
      <c r="M456" s="67"/>
      <c r="IH456" s="3"/>
      <c r="II456" s="3"/>
      <c r="IJ456" s="3"/>
      <c r="IK456" s="3"/>
      <c r="IL456" s="3"/>
    </row>
    <row r="457" spans="1:246" s="66" customFormat="1" ht="14.25" customHeight="1">
      <c r="A457" s="124"/>
      <c r="B457" s="129" t="s">
        <v>118</v>
      </c>
      <c r="C457" s="130">
        <f>C258+C286+C298+C307+C277</f>
        <v>614</v>
      </c>
      <c r="D457" s="130">
        <f>D258+D286+D298+D307+D277</f>
        <v>505</v>
      </c>
      <c r="E457" s="130">
        <f>E258+E286+E298+E307+E277</f>
        <v>91</v>
      </c>
      <c r="F457" s="130">
        <f>F258+F286+F298+F307+F277</f>
        <v>18</v>
      </c>
      <c r="G457" s="130">
        <f>G258+G286+G298+G307+G277</f>
        <v>0</v>
      </c>
      <c r="H457" s="92"/>
      <c r="I457" s="86"/>
      <c r="J457" s="75"/>
      <c r="L457" s="67"/>
      <c r="M457" s="67"/>
      <c r="IH457" s="3"/>
      <c r="II457" s="3"/>
      <c r="IJ457" s="3"/>
      <c r="IK457" s="3"/>
      <c r="IL457" s="3"/>
    </row>
    <row r="458" spans="1:246" s="66" customFormat="1" ht="30">
      <c r="A458" s="124"/>
      <c r="B458" s="125" t="s">
        <v>119</v>
      </c>
      <c r="C458" s="126">
        <f>C459+C460</f>
        <v>6656</v>
      </c>
      <c r="D458" s="126">
        <f>D459+D460</f>
        <v>0</v>
      </c>
      <c r="E458" s="126">
        <f>E459+E460</f>
        <v>0</v>
      </c>
      <c r="F458" s="126">
        <f>F459+F460</f>
        <v>6592</v>
      </c>
      <c r="G458" s="126">
        <f>G459+G460</f>
        <v>0</v>
      </c>
      <c r="H458" s="127"/>
      <c r="I458" s="91"/>
      <c r="J458" s="75"/>
      <c r="L458" s="79"/>
      <c r="M458" s="79"/>
      <c r="IH458" s="3"/>
      <c r="II458" s="3"/>
      <c r="IJ458" s="3"/>
      <c r="IK458" s="3"/>
      <c r="IL458" s="3"/>
    </row>
    <row r="459" spans="1:246" s="66" customFormat="1" ht="14.25" customHeight="1">
      <c r="A459" s="124"/>
      <c r="B459" s="129" t="s">
        <v>120</v>
      </c>
      <c r="C459" s="130">
        <f>C446+C266+C17+C26</f>
        <v>5592</v>
      </c>
      <c r="D459" s="130">
        <f>D446+D266</f>
        <v>0</v>
      </c>
      <c r="E459" s="130">
        <f>E446+E266</f>
        <v>0</v>
      </c>
      <c r="F459" s="130">
        <f>F446+F266</f>
        <v>5539</v>
      </c>
      <c r="G459" s="130">
        <f>G446+G266</f>
        <v>0</v>
      </c>
      <c r="H459" s="92"/>
      <c r="I459" s="86"/>
      <c r="J459" s="75"/>
      <c r="L459" s="67"/>
      <c r="M459" s="67"/>
      <c r="IH459" s="3"/>
      <c r="II459" s="3"/>
      <c r="IJ459" s="3"/>
      <c r="IK459" s="3"/>
      <c r="IL459" s="3"/>
    </row>
    <row r="460" spans="1:246" s="66" customFormat="1" ht="14.25" customHeight="1">
      <c r="A460" s="124"/>
      <c r="B460" s="129" t="s">
        <v>121</v>
      </c>
      <c r="C460" s="130">
        <f>C448+C268+C19+C28</f>
        <v>1064</v>
      </c>
      <c r="D460" s="130">
        <f>D448+D268</f>
        <v>0</v>
      </c>
      <c r="E460" s="130">
        <f>E448+E268</f>
        <v>0</v>
      </c>
      <c r="F460" s="130">
        <f>F448+F268</f>
        <v>1053</v>
      </c>
      <c r="G460" s="130">
        <f>G448+G268</f>
        <v>0</v>
      </c>
      <c r="H460" s="92"/>
      <c r="I460" s="86"/>
      <c r="J460" s="75"/>
      <c r="L460" s="67"/>
      <c r="M460" s="67"/>
      <c r="IH460" s="3"/>
      <c r="II460" s="3"/>
      <c r="IJ460" s="3"/>
      <c r="IK460" s="3"/>
      <c r="IL460" s="3"/>
    </row>
    <row r="461" spans="1:246" s="66" customFormat="1" ht="15" customHeight="1">
      <c r="A461" s="124"/>
      <c r="B461" s="125" t="s">
        <v>122</v>
      </c>
      <c r="C461" s="126">
        <f>C438+C427+C416+C405+C383+C372+C119+C108</f>
        <v>113724</v>
      </c>
      <c r="D461" s="126">
        <f>D438+D427+D416+D405+D383+D372+D119+D108</f>
        <v>4648</v>
      </c>
      <c r="E461" s="126">
        <f>E438+E427+E416+E405+E383+E372+E119+E108</f>
        <v>0</v>
      </c>
      <c r="F461" s="126">
        <f>F438+F427+F416+F405+F383+F372+F119+F108</f>
        <v>0</v>
      </c>
      <c r="G461" s="126">
        <f>G438+G427+G416+G405+G383+G372+G119+G108</f>
        <v>0</v>
      </c>
      <c r="H461" s="127"/>
      <c r="I461" s="91"/>
      <c r="J461" s="75"/>
      <c r="L461" s="79"/>
      <c r="M461" s="79"/>
      <c r="IH461" s="3"/>
      <c r="II461" s="3"/>
      <c r="IJ461" s="3"/>
      <c r="IK461" s="3"/>
      <c r="IL461" s="3"/>
    </row>
    <row r="462" spans="1:246" s="66" customFormat="1" ht="15" customHeight="1">
      <c r="A462" s="124"/>
      <c r="B462" s="131" t="s">
        <v>31</v>
      </c>
      <c r="C462" s="126">
        <f>(C38+C48+C58+C68+C78+C88+C98+C109+C120+C140+C150+C186+C196+C204+C212+C236+C248+C317+C328+C338+C348+C373+C406+C417+C428+C439+C384)-C232</f>
        <v>39046.49999999999</v>
      </c>
      <c r="D462" s="126">
        <f>D38+D48+D58+D68+D78+D88+D98+D109+D120+D140+D150+D186+D196+D204+D212+D236+D248+D317+D328+D338+D348+D373+D406+D417+D428+D439+D384</f>
        <v>6404.28</v>
      </c>
      <c r="E462" s="126">
        <f>(E38+E48+E58+E68+E78+E88+E98+E109+E120+E140+E150+E186+E196+E204+E212+E236+E248+E317+E328+E338+E348+E373+E406+E417+E428+E439+E384)-E454</f>
        <v>1118</v>
      </c>
      <c r="F462" s="126">
        <f>F38+F48+F58+F68+F78+F88+F98+F109+F120+F140+F150+F186+F196+F204+F212+F236+F248+F317+F328+F338+F348+F373+F406+F417+F428+F439+F384</f>
        <v>12462</v>
      </c>
      <c r="G462" s="126">
        <f>G38+G48+G58+G68+G78+G88+G98+G109+G120+G140+G150+G186+G196+G204+G212+G236+G248+G317+G328+G338+G348+G373+G406+G417+G428+G439+G384</f>
        <v>12468</v>
      </c>
      <c r="H462" s="74"/>
      <c r="I462" s="74"/>
      <c r="J462" s="75"/>
      <c r="IH462" s="3"/>
      <c r="II462" s="3"/>
      <c r="IJ462" s="3"/>
      <c r="IK462" s="3"/>
      <c r="IL462" s="3"/>
    </row>
    <row r="463" spans="1:11" ht="15" customHeight="1">
      <c r="A463" s="132"/>
      <c r="B463" s="133" t="s">
        <v>123</v>
      </c>
      <c r="C463" s="134">
        <f>(C451+C452+C453+C461+C462+C455+C454+C458)</f>
        <v>527888.3</v>
      </c>
      <c r="D463" s="134">
        <f>(D451+D452+D453+D461+D462+D455+D458)</f>
        <v>62582.2</v>
      </c>
      <c r="E463" s="134">
        <f>(E451+E452+E453+E461+E462+E455+E458)</f>
        <v>48143</v>
      </c>
      <c r="F463" s="134">
        <f>(F451+F452+F453+F461+F462+F455+F458)</f>
        <v>43141</v>
      </c>
      <c r="G463" s="134">
        <f>(G451+G452+G453+G461+G462+G455+G458)</f>
        <v>24216</v>
      </c>
      <c r="I463" s="135"/>
      <c r="J463" s="135"/>
      <c r="K463" s="136">
        <f>C450-C463</f>
        <v>-0.10000000009313226</v>
      </c>
    </row>
    <row r="464" spans="1:11" ht="12.75" customHeight="1">
      <c r="A464" s="137"/>
      <c r="B464" s="138"/>
      <c r="C464" s="139"/>
      <c r="D464" s="139"/>
      <c r="E464" s="139"/>
      <c r="F464" s="139"/>
      <c r="G464" s="139"/>
      <c r="I464" s="135"/>
      <c r="J464" s="135"/>
      <c r="K464" s="136"/>
    </row>
    <row r="465" spans="1:252" s="20" customFormat="1" ht="15">
      <c r="A465" s="150" t="s">
        <v>127</v>
      </c>
      <c r="B465" s="150"/>
      <c r="C465" s="150"/>
      <c r="D465" s="140"/>
      <c r="E465" s="140"/>
      <c r="F465" s="140"/>
      <c r="H465" s="23"/>
      <c r="I465" s="24"/>
      <c r="J465" s="24"/>
      <c r="IH465" s="21"/>
      <c r="II465" s="21"/>
      <c r="IJ465" s="21"/>
      <c r="IK465" s="21"/>
      <c r="IL465" s="21"/>
      <c r="IM465" s="21"/>
      <c r="IN465" s="21"/>
      <c r="IO465" s="21"/>
      <c r="IP465" s="21"/>
      <c r="IQ465" s="21"/>
      <c r="IR465" s="21"/>
    </row>
    <row r="466" spans="1:252" s="20" customFormat="1" ht="15.75" customHeight="1">
      <c r="A466" s="150" t="s">
        <v>128</v>
      </c>
      <c r="B466" s="150"/>
      <c r="C466" s="150"/>
      <c r="D466" s="140"/>
      <c r="E466" s="140"/>
      <c r="F466" s="140"/>
      <c r="H466" s="23"/>
      <c r="I466" s="24"/>
      <c r="J466" s="24"/>
      <c r="IH466" s="21"/>
      <c r="II466" s="21"/>
      <c r="IJ466" s="21"/>
      <c r="IK466" s="21"/>
      <c r="IL466" s="21"/>
      <c r="IM466" s="21"/>
      <c r="IN466" s="21"/>
      <c r="IO466" s="21"/>
      <c r="IP466" s="21"/>
      <c r="IQ466" s="21"/>
      <c r="IR466" s="21"/>
    </row>
    <row r="467" spans="2:3" ht="15.75">
      <c r="B467" s="141"/>
      <c r="C467" s="136"/>
    </row>
    <row r="468" spans="2:3" ht="15.75">
      <c r="B468" s="142"/>
      <c r="C468" s="136"/>
    </row>
    <row r="469" spans="2:6" ht="15.75">
      <c r="B469" s="142"/>
      <c r="C469" s="143"/>
      <c r="F469"/>
    </row>
    <row r="470" spans="2:6" ht="15.75">
      <c r="B470" s="4"/>
      <c r="C470" s="144"/>
      <c r="F470"/>
    </row>
    <row r="471" ht="15.75">
      <c r="B471" s="4"/>
    </row>
    <row r="472" ht="15.75">
      <c r="B472" s="145"/>
    </row>
    <row r="473" spans="1:6" ht="15.75">
      <c r="A473" s="151"/>
      <c r="B473" s="151"/>
      <c r="C473" s="151"/>
      <c r="D473" s="146"/>
      <c r="E473" s="146"/>
      <c r="F473" s="146"/>
    </row>
    <row r="477" spans="2:3" ht="15.75">
      <c r="B477" s="147" t="s">
        <v>124</v>
      </c>
      <c r="C477" s="148">
        <f>C29+C39+C49+C59+C69+C79+C89+C99+C110+C141+C177+C187+C226+C239+C308+C319+C329+C339+C363+C374+C396+C407+C418+C429</f>
        <v>461335.2</v>
      </c>
    </row>
    <row r="478" spans="2:3" ht="15.75">
      <c r="B478" s="147" t="s">
        <v>125</v>
      </c>
      <c r="C478" s="148">
        <f>C131+C197+C205</f>
        <v>56195</v>
      </c>
    </row>
    <row r="479" spans="2:3" ht="15.75">
      <c r="B479" s="147" t="s">
        <v>126</v>
      </c>
      <c r="C479" s="148">
        <f>C250+C269+C278+C290+C299+C440+C11+C20+C261+C263</f>
        <v>10358</v>
      </c>
    </row>
    <row r="480" spans="2:3" ht="15.75">
      <c r="B480" s="80"/>
      <c r="C480" s="148">
        <f>C477+C478+C479</f>
        <v>527888.2</v>
      </c>
    </row>
  </sheetData>
  <sheetProtection selectLockedCells="1" selectUnlockedCells="1"/>
  <mergeCells count="59">
    <mergeCell ref="A2:B2"/>
    <mergeCell ref="A3:C3"/>
    <mergeCell ref="A4:B4"/>
    <mergeCell ref="A6:C6"/>
    <mergeCell ref="A10:C10"/>
    <mergeCell ref="H100:H101"/>
    <mergeCell ref="I100:I101"/>
    <mergeCell ref="J100:J101"/>
    <mergeCell ref="K100:K101"/>
    <mergeCell ref="H111:H112"/>
    <mergeCell ref="I111:I112"/>
    <mergeCell ref="J111:J112"/>
    <mergeCell ref="K111:K112"/>
    <mergeCell ref="A175:B175"/>
    <mergeCell ref="A176:C176"/>
    <mergeCell ref="A213:B213"/>
    <mergeCell ref="A214:C214"/>
    <mergeCell ref="H216:H217"/>
    <mergeCell ref="I216:I217"/>
    <mergeCell ref="J216:J217"/>
    <mergeCell ref="K216:K217"/>
    <mergeCell ref="A237:B237"/>
    <mergeCell ref="A238:C238"/>
    <mergeCell ref="A349:B349"/>
    <mergeCell ref="A350:C350"/>
    <mergeCell ref="A361:B361"/>
    <mergeCell ref="A362:C362"/>
    <mergeCell ref="H364:H365"/>
    <mergeCell ref="I364:I365"/>
    <mergeCell ref="J364:J365"/>
    <mergeCell ref="K364:K365"/>
    <mergeCell ref="H375:H376"/>
    <mergeCell ref="I375:I376"/>
    <mergeCell ref="J375:J376"/>
    <mergeCell ref="K375:K376"/>
    <mergeCell ref="H386:H387"/>
    <mergeCell ref="I386:I387"/>
    <mergeCell ref="J386:J387"/>
    <mergeCell ref="K386:K387"/>
    <mergeCell ref="H397:H398"/>
    <mergeCell ref="I397:I398"/>
    <mergeCell ref="J397:J398"/>
    <mergeCell ref="K397:K398"/>
    <mergeCell ref="H408:H409"/>
    <mergeCell ref="I408:I409"/>
    <mergeCell ref="J408:J409"/>
    <mergeCell ref="K408:K409"/>
    <mergeCell ref="J419:J420"/>
    <mergeCell ref="K419:K420"/>
    <mergeCell ref="H430:H431"/>
    <mergeCell ref="I430:I431"/>
    <mergeCell ref="J430:J431"/>
    <mergeCell ref="K430:K431"/>
    <mergeCell ref="A449:B449"/>
    <mergeCell ref="A465:C465"/>
    <mergeCell ref="A466:C466"/>
    <mergeCell ref="A473:C473"/>
    <mergeCell ref="H419:H420"/>
    <mergeCell ref="I419:I420"/>
  </mergeCells>
  <printOptions/>
  <pageMargins left="0.5118055555555555" right="0.4722222222222222" top="0.4722222222222222" bottom="0.31527777777777777" header="0.5118055555555555" footer="0.5118055555555555"/>
  <pageSetup fitToHeight="0" fitToWidth="1" horizontalDpi="300" verticalDpi="300" orientation="portrait" paperSize="9" scale="87" r:id="rId3"/>
  <rowBreaks count="3" manualBreakCount="3">
    <brk id="213" max="2" man="1"/>
    <brk id="338" max="2" man="1"/>
    <brk id="439" max="2"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deip9</dc:creator>
  <cp:keywords/>
  <dc:description/>
  <cp:lastModifiedBy>utilizator deip9</cp:lastModifiedBy>
  <cp:lastPrinted>2023-01-31T11:57:03Z</cp:lastPrinted>
  <dcterms:created xsi:type="dcterms:W3CDTF">2023-01-31T11:52:45Z</dcterms:created>
  <dcterms:modified xsi:type="dcterms:W3CDTF">2023-01-31T11:57:35Z</dcterms:modified>
  <cp:category/>
  <cp:version/>
  <cp:contentType/>
  <cp:contentStatus/>
</cp:coreProperties>
</file>